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showInkAnnotation="0" autoCompressPictures="0"/>
  <bookViews>
    <workbookView xWindow="60" yWindow="120" windowWidth="25365" windowHeight="15120"/>
  </bookViews>
  <sheets>
    <sheet name="PRESUPUESTO DAC 2014" sheetId="1" r:id="rId1"/>
    <sheet name="Hoja1" sheetId="2" r:id="rId2"/>
  </sheets>
  <calcPr calcId="145621" concurrentCalc="0"/>
  <extLst>
    <ext xmlns:mx="http://schemas.microsoft.com/office/mac/excel/2008/main" uri="{7523E5D3-25F3-A5E0-1632-64F254C22452}">
      <mx:ArchID Flags="2"/>
    </ext>
  </extLst>
</workbook>
</file>

<file path=xl/calcChain.xml><?xml version="1.0" encoding="utf-8"?>
<calcChain xmlns="http://schemas.openxmlformats.org/spreadsheetml/2006/main">
  <c r="H85" i="1" l="1"/>
  <c r="N85" i="1"/>
  <c r="H86" i="1"/>
  <c r="N86" i="1"/>
  <c r="H87" i="1"/>
  <c r="N87" i="1"/>
  <c r="H88" i="1"/>
  <c r="N88" i="1"/>
  <c r="N89" i="1"/>
  <c r="N12" i="1"/>
  <c r="N542" i="1"/>
  <c r="N16" i="1"/>
  <c r="N546" i="1"/>
  <c r="F539" i="1"/>
  <c r="F541" i="1"/>
  <c r="C536" i="1"/>
  <c r="G541" i="1"/>
  <c r="H541" i="1"/>
  <c r="F548" i="1"/>
  <c r="H548" i="1"/>
  <c r="N548" i="1"/>
  <c r="N549" i="1"/>
  <c r="N18" i="1"/>
  <c r="H553" i="1"/>
  <c r="N553" i="1"/>
  <c r="H555" i="1"/>
  <c r="N555" i="1"/>
  <c r="H557" i="1"/>
  <c r="N557" i="1"/>
  <c r="H559" i="1"/>
  <c r="N559" i="1"/>
  <c r="H561" i="1"/>
  <c r="N561" i="1"/>
  <c r="H564" i="1"/>
  <c r="N564" i="1"/>
  <c r="N565" i="1"/>
  <c r="N20" i="1"/>
  <c r="H568" i="1"/>
  <c r="N568" i="1"/>
  <c r="H571" i="1"/>
  <c r="N571" i="1"/>
  <c r="H572" i="1"/>
  <c r="N572" i="1"/>
  <c r="H573" i="1"/>
  <c r="I573" i="1"/>
  <c r="J573" i="1"/>
  <c r="N573" i="1"/>
  <c r="N574" i="1"/>
  <c r="N22" i="1"/>
  <c r="H577" i="1"/>
  <c r="N577" i="1"/>
  <c r="H578" i="1"/>
  <c r="N578" i="1"/>
  <c r="H580" i="1"/>
  <c r="N580" i="1"/>
  <c r="N581" i="1"/>
  <c r="N24" i="1"/>
  <c r="H584" i="1"/>
  <c r="N584" i="1"/>
  <c r="H585" i="1"/>
  <c r="N585" i="1"/>
  <c r="N586" i="1"/>
  <c r="N26" i="1"/>
  <c r="H590" i="1"/>
  <c r="H591" i="1"/>
  <c r="H592" i="1"/>
  <c r="H593" i="1"/>
  <c r="H594" i="1"/>
  <c r="J594" i="1"/>
  <c r="N594" i="1"/>
  <c r="H596" i="1"/>
  <c r="F597" i="1"/>
  <c r="H597" i="1"/>
  <c r="F598" i="1"/>
  <c r="G598" i="1"/>
  <c r="H598" i="1"/>
  <c r="F599" i="1"/>
  <c r="H599" i="1"/>
  <c r="F600" i="1"/>
  <c r="H600" i="1"/>
  <c r="F601" i="1"/>
  <c r="H601" i="1"/>
  <c r="F602" i="1"/>
  <c r="H602" i="1"/>
  <c r="F603" i="1"/>
  <c r="G603" i="1"/>
  <c r="H603" i="1"/>
  <c r="G604" i="1"/>
  <c r="H604" i="1"/>
  <c r="J604" i="1"/>
  <c r="N604" i="1"/>
  <c r="N609" i="1"/>
  <c r="N28" i="1"/>
  <c r="N614" i="1"/>
  <c r="N30" i="1"/>
  <c r="N620" i="1"/>
  <c r="N32" i="1"/>
  <c r="H626" i="1"/>
  <c r="N626" i="1"/>
  <c r="N627" i="1"/>
  <c r="N34" i="1"/>
  <c r="N636" i="1"/>
  <c r="N36" i="1"/>
  <c r="H642" i="1"/>
  <c r="N642" i="1"/>
  <c r="N643" i="1"/>
  <c r="N38" i="1"/>
  <c r="H649" i="1"/>
  <c r="M649" i="1"/>
  <c r="N649" i="1"/>
  <c r="H653" i="1"/>
  <c r="M653" i="1"/>
  <c r="N653" i="1"/>
  <c r="H657" i="1"/>
  <c r="M657" i="1"/>
  <c r="N657" i="1"/>
  <c r="H668" i="1"/>
  <c r="N668" i="1"/>
  <c r="H671" i="1"/>
  <c r="N671" i="1"/>
  <c r="H673" i="1"/>
  <c r="N673" i="1"/>
  <c r="H674" i="1"/>
  <c r="N674" i="1"/>
  <c r="H675" i="1"/>
  <c r="N675" i="1"/>
  <c r="F676" i="1"/>
  <c r="H676" i="1"/>
  <c r="N676" i="1"/>
  <c r="H677" i="1"/>
  <c r="N677" i="1"/>
  <c r="N679" i="1"/>
  <c r="N40" i="1"/>
  <c r="H682" i="1"/>
  <c r="N682" i="1"/>
  <c r="H683" i="1"/>
  <c r="N683" i="1"/>
  <c r="N684" i="1"/>
  <c r="N42" i="1"/>
  <c r="G688" i="1"/>
  <c r="H688" i="1"/>
  <c r="N688" i="1"/>
  <c r="H695" i="1"/>
  <c r="N695" i="1"/>
  <c r="H697" i="1"/>
  <c r="H698" i="1"/>
  <c r="H699" i="1"/>
  <c r="M700" i="1"/>
  <c r="N700" i="1"/>
  <c r="H708" i="1"/>
  <c r="N708" i="1"/>
  <c r="H709" i="1"/>
  <c r="N709" i="1"/>
  <c r="H711" i="1"/>
  <c r="H712" i="1"/>
  <c r="N712" i="1"/>
  <c r="N713" i="1"/>
  <c r="N44" i="1"/>
  <c r="H718" i="1"/>
  <c r="M718" i="1"/>
  <c r="N718" i="1"/>
  <c r="H719" i="1"/>
  <c r="N719" i="1"/>
  <c r="N720" i="1"/>
  <c r="H721" i="1"/>
  <c r="N721" i="1"/>
  <c r="N722" i="1"/>
  <c r="N46" i="1"/>
  <c r="H726" i="1"/>
  <c r="N727" i="1"/>
  <c r="N730" i="1"/>
  <c r="N731" i="1"/>
  <c r="N48" i="1"/>
  <c r="H734" i="1"/>
  <c r="N734" i="1"/>
  <c r="H735" i="1"/>
  <c r="N735" i="1"/>
  <c r="H736" i="1"/>
  <c r="N736" i="1"/>
  <c r="H737" i="1"/>
  <c r="N737" i="1"/>
  <c r="H738" i="1"/>
  <c r="N738" i="1"/>
  <c r="H739" i="1"/>
  <c r="N739" i="1"/>
  <c r="H740" i="1"/>
  <c r="N740" i="1"/>
  <c r="H741" i="1"/>
  <c r="N741" i="1"/>
  <c r="H742" i="1"/>
  <c r="N742" i="1"/>
  <c r="H743" i="1"/>
  <c r="N743" i="1"/>
  <c r="H744" i="1"/>
  <c r="N744" i="1"/>
  <c r="H745" i="1"/>
  <c r="N745" i="1"/>
  <c r="H746" i="1"/>
  <c r="N746" i="1"/>
  <c r="N747" i="1"/>
  <c r="N50" i="1"/>
  <c r="H751" i="1"/>
  <c r="N751" i="1"/>
  <c r="H752" i="1"/>
  <c r="N752" i="1"/>
  <c r="N754" i="1"/>
  <c r="N52" i="1"/>
  <c r="H761" i="1"/>
  <c r="N761" i="1"/>
  <c r="N762" i="1"/>
  <c r="N56" i="1"/>
  <c r="N62" i="1"/>
  <c r="M85" i="1"/>
  <c r="M86" i="1"/>
  <c r="M87" i="1"/>
  <c r="M88" i="1"/>
  <c r="M89" i="1"/>
  <c r="M12" i="1"/>
  <c r="M542" i="1"/>
  <c r="M16" i="1"/>
  <c r="M545" i="1"/>
  <c r="M546" i="1"/>
  <c r="M549" i="1"/>
  <c r="M18" i="1"/>
  <c r="M553" i="1"/>
  <c r="M555" i="1"/>
  <c r="M557" i="1"/>
  <c r="M559" i="1"/>
  <c r="M564" i="1"/>
  <c r="M565" i="1"/>
  <c r="M20" i="1"/>
  <c r="M568" i="1"/>
  <c r="M574" i="1"/>
  <c r="M22" i="1"/>
  <c r="M577" i="1"/>
  <c r="M578" i="1"/>
  <c r="M580" i="1"/>
  <c r="M581" i="1"/>
  <c r="M24" i="1"/>
  <c r="M584" i="1"/>
  <c r="M585" i="1"/>
  <c r="M586" i="1"/>
  <c r="M26" i="1"/>
  <c r="M594" i="1"/>
  <c r="M604" i="1"/>
  <c r="M609" i="1"/>
  <c r="M28" i="1"/>
  <c r="M614" i="1"/>
  <c r="M30" i="1"/>
  <c r="M620" i="1"/>
  <c r="M32" i="1"/>
  <c r="H624" i="1"/>
  <c r="M624" i="1"/>
  <c r="H625" i="1"/>
  <c r="M625" i="1"/>
  <c r="M626" i="1"/>
  <c r="M627" i="1"/>
  <c r="M34" i="1"/>
  <c r="M636" i="1"/>
  <c r="M36" i="1"/>
  <c r="M643" i="1"/>
  <c r="M38" i="1"/>
  <c r="H678" i="1"/>
  <c r="M678" i="1"/>
  <c r="M679" i="1"/>
  <c r="M40" i="1"/>
  <c r="M682" i="1"/>
  <c r="M683" i="1"/>
  <c r="M684" i="1"/>
  <c r="M42" i="1"/>
  <c r="M688" i="1"/>
  <c r="M694" i="1"/>
  <c r="M695" i="1"/>
  <c r="M708" i="1"/>
  <c r="M709" i="1"/>
  <c r="M713" i="1"/>
  <c r="M44" i="1"/>
  <c r="M721" i="1"/>
  <c r="M722" i="1"/>
  <c r="M46" i="1"/>
  <c r="M727" i="1"/>
  <c r="F729" i="1"/>
  <c r="H729" i="1"/>
  <c r="M729" i="1"/>
  <c r="M731" i="1"/>
  <c r="M48" i="1"/>
  <c r="M734" i="1"/>
  <c r="M735" i="1"/>
  <c r="M736" i="1"/>
  <c r="M737" i="1"/>
  <c r="M738" i="1"/>
  <c r="M739" i="1"/>
  <c r="M740" i="1"/>
  <c r="M741" i="1"/>
  <c r="M742" i="1"/>
  <c r="M743" i="1"/>
  <c r="M744" i="1"/>
  <c r="M745" i="1"/>
  <c r="M746" i="1"/>
  <c r="M747" i="1"/>
  <c r="M50" i="1"/>
  <c r="M751" i="1"/>
  <c r="M752" i="1"/>
  <c r="M754" i="1"/>
  <c r="M52" i="1"/>
  <c r="M762" i="1"/>
  <c r="M56" i="1"/>
  <c r="M60" i="1"/>
  <c r="M62" i="1"/>
  <c r="O76" i="1"/>
  <c r="O8" i="1"/>
  <c r="O85" i="1"/>
  <c r="O86" i="1"/>
  <c r="O87" i="1"/>
  <c r="O88" i="1"/>
  <c r="O89" i="1"/>
  <c r="O12" i="1"/>
  <c r="O542" i="1"/>
  <c r="O16" i="1"/>
  <c r="G502" i="1"/>
  <c r="C496" i="1"/>
  <c r="C460" i="1"/>
  <c r="C138" i="1"/>
  <c r="C497" i="1"/>
  <c r="H502" i="1"/>
  <c r="G503" i="1"/>
  <c r="H503" i="1"/>
  <c r="G504" i="1"/>
  <c r="H504" i="1"/>
  <c r="G507" i="1"/>
  <c r="H507" i="1"/>
  <c r="G508" i="1"/>
  <c r="H508" i="1"/>
  <c r="F509" i="1"/>
  <c r="H509" i="1"/>
  <c r="H511" i="1"/>
  <c r="F95" i="1"/>
  <c r="H95" i="1"/>
  <c r="F96" i="1"/>
  <c r="H96" i="1"/>
  <c r="F101" i="1"/>
  <c r="G97" i="1"/>
  <c r="F97" i="1"/>
  <c r="H97" i="1"/>
  <c r="G98" i="1"/>
  <c r="H98" i="1"/>
  <c r="G99" i="1"/>
  <c r="H99" i="1"/>
  <c r="F100" i="1"/>
  <c r="H100" i="1"/>
  <c r="H101" i="1"/>
  <c r="F102" i="1"/>
  <c r="H102" i="1"/>
  <c r="F103" i="1"/>
  <c r="H103" i="1"/>
  <c r="J103" i="1"/>
  <c r="F106" i="1"/>
  <c r="H106" i="1"/>
  <c r="F107" i="1"/>
  <c r="H107" i="1"/>
  <c r="F112" i="1"/>
  <c r="G108" i="1"/>
  <c r="F108" i="1"/>
  <c r="H108" i="1"/>
  <c r="G109" i="1"/>
  <c r="H109" i="1"/>
  <c r="G110" i="1"/>
  <c r="H110" i="1"/>
  <c r="F111" i="1"/>
  <c r="H111" i="1"/>
  <c r="H112" i="1"/>
  <c r="F113" i="1"/>
  <c r="H113" i="1"/>
  <c r="F114" i="1"/>
  <c r="H114" i="1"/>
  <c r="J114" i="1"/>
  <c r="F117" i="1"/>
  <c r="H117" i="1"/>
  <c r="F118" i="1"/>
  <c r="H118" i="1"/>
  <c r="F123" i="1"/>
  <c r="G119" i="1"/>
  <c r="F119" i="1"/>
  <c r="H119" i="1"/>
  <c r="G120" i="1"/>
  <c r="H120" i="1"/>
  <c r="G121" i="1"/>
  <c r="H121" i="1"/>
  <c r="F122" i="1"/>
  <c r="H122" i="1"/>
  <c r="H123" i="1"/>
  <c r="F124" i="1"/>
  <c r="H124" i="1"/>
  <c r="F125" i="1"/>
  <c r="H125" i="1"/>
  <c r="J125" i="1"/>
  <c r="F128" i="1"/>
  <c r="H128" i="1"/>
  <c r="F129" i="1"/>
  <c r="H129" i="1"/>
  <c r="F134" i="1"/>
  <c r="G130" i="1"/>
  <c r="F130" i="1"/>
  <c r="H130" i="1"/>
  <c r="G131" i="1"/>
  <c r="F131" i="1"/>
  <c r="H131" i="1"/>
  <c r="G132" i="1"/>
  <c r="F132" i="1"/>
  <c r="H132" i="1"/>
  <c r="F133" i="1"/>
  <c r="H133" i="1"/>
  <c r="H134" i="1"/>
  <c r="F135" i="1"/>
  <c r="H135" i="1"/>
  <c r="F136" i="1"/>
  <c r="H136" i="1"/>
  <c r="J136" i="1"/>
  <c r="F142" i="1"/>
  <c r="H142" i="1"/>
  <c r="F143" i="1"/>
  <c r="H143" i="1"/>
  <c r="F148" i="1"/>
  <c r="G144" i="1"/>
  <c r="F144" i="1"/>
  <c r="H144" i="1"/>
  <c r="G145" i="1"/>
  <c r="H145" i="1"/>
  <c r="G146" i="1"/>
  <c r="H146" i="1"/>
  <c r="F147" i="1"/>
  <c r="H147" i="1"/>
  <c r="H148" i="1"/>
  <c r="H149" i="1"/>
  <c r="F150" i="1"/>
  <c r="H150" i="1"/>
  <c r="J150" i="1"/>
  <c r="F153" i="1"/>
  <c r="H153" i="1"/>
  <c r="F154" i="1"/>
  <c r="H154" i="1"/>
  <c r="F159" i="1"/>
  <c r="G155" i="1"/>
  <c r="F155" i="1"/>
  <c r="H155" i="1"/>
  <c r="G156" i="1"/>
  <c r="H156" i="1"/>
  <c r="G157" i="1"/>
  <c r="H157" i="1"/>
  <c r="F158" i="1"/>
  <c r="H158" i="1"/>
  <c r="H159" i="1"/>
  <c r="H160" i="1"/>
  <c r="F161" i="1"/>
  <c r="H161" i="1"/>
  <c r="J161" i="1"/>
  <c r="F164" i="1"/>
  <c r="H164" i="1"/>
  <c r="F165" i="1"/>
  <c r="H165" i="1"/>
  <c r="F170" i="1"/>
  <c r="G166" i="1"/>
  <c r="F166" i="1"/>
  <c r="H166" i="1"/>
  <c r="G167" i="1"/>
  <c r="H167" i="1"/>
  <c r="G168" i="1"/>
  <c r="H168" i="1"/>
  <c r="F169" i="1"/>
  <c r="H169" i="1"/>
  <c r="H170" i="1"/>
  <c r="F171" i="1"/>
  <c r="H171" i="1"/>
  <c r="F172" i="1"/>
  <c r="H172" i="1"/>
  <c r="J172" i="1"/>
  <c r="F175" i="1"/>
  <c r="H175" i="1"/>
  <c r="F176" i="1"/>
  <c r="H176" i="1"/>
  <c r="F181" i="1"/>
  <c r="G177" i="1"/>
  <c r="F177" i="1"/>
  <c r="H177" i="1"/>
  <c r="G178" i="1"/>
  <c r="H178" i="1"/>
  <c r="G179" i="1"/>
  <c r="H179" i="1"/>
  <c r="F180" i="1"/>
  <c r="H180" i="1"/>
  <c r="H181" i="1"/>
  <c r="F182" i="1"/>
  <c r="H182" i="1"/>
  <c r="F183" i="1"/>
  <c r="H183" i="1"/>
  <c r="J183" i="1"/>
  <c r="F186" i="1"/>
  <c r="H186" i="1"/>
  <c r="F187" i="1"/>
  <c r="H187" i="1"/>
  <c r="F192" i="1"/>
  <c r="G188" i="1"/>
  <c r="F188" i="1"/>
  <c r="H188" i="1"/>
  <c r="G189" i="1"/>
  <c r="F189" i="1"/>
  <c r="H189" i="1"/>
  <c r="G190" i="1"/>
  <c r="F190" i="1"/>
  <c r="H190" i="1"/>
  <c r="F191" i="1"/>
  <c r="H191" i="1"/>
  <c r="H192" i="1"/>
  <c r="F193" i="1"/>
  <c r="H193" i="1"/>
  <c r="F194" i="1"/>
  <c r="H194" i="1"/>
  <c r="J194" i="1"/>
  <c r="F197" i="1"/>
  <c r="H197" i="1"/>
  <c r="F198" i="1"/>
  <c r="H198" i="1"/>
  <c r="F203" i="1"/>
  <c r="G199" i="1"/>
  <c r="F199" i="1"/>
  <c r="H199" i="1"/>
  <c r="G200" i="1"/>
  <c r="F200" i="1"/>
  <c r="H200" i="1"/>
  <c r="G201" i="1"/>
  <c r="F201" i="1"/>
  <c r="H201" i="1"/>
  <c r="F202" i="1"/>
  <c r="H202" i="1"/>
  <c r="H203" i="1"/>
  <c r="F204" i="1"/>
  <c r="H204" i="1"/>
  <c r="F205" i="1"/>
  <c r="H205" i="1"/>
  <c r="J205" i="1"/>
  <c r="F208" i="1"/>
  <c r="H208" i="1"/>
  <c r="F209" i="1"/>
  <c r="H209" i="1"/>
  <c r="F214" i="1"/>
  <c r="G210" i="1"/>
  <c r="F210" i="1"/>
  <c r="H210" i="1"/>
  <c r="G211" i="1"/>
  <c r="H211" i="1"/>
  <c r="G212" i="1"/>
  <c r="H212" i="1"/>
  <c r="F213" i="1"/>
  <c r="H213" i="1"/>
  <c r="H214" i="1"/>
  <c r="F215" i="1"/>
  <c r="H215" i="1"/>
  <c r="F216" i="1"/>
  <c r="H216" i="1"/>
  <c r="J216" i="1"/>
  <c r="F219" i="1"/>
  <c r="H219" i="1"/>
  <c r="F220" i="1"/>
  <c r="H220" i="1"/>
  <c r="F225" i="1"/>
  <c r="G221" i="1"/>
  <c r="F221" i="1"/>
  <c r="H221" i="1"/>
  <c r="G222" i="1"/>
  <c r="H222" i="1"/>
  <c r="G223" i="1"/>
  <c r="H223" i="1"/>
  <c r="F224" i="1"/>
  <c r="H224" i="1"/>
  <c r="H225" i="1"/>
  <c r="F226" i="1"/>
  <c r="H226" i="1"/>
  <c r="F227" i="1"/>
  <c r="H227" i="1"/>
  <c r="J227" i="1"/>
  <c r="F230" i="1"/>
  <c r="H230" i="1"/>
  <c r="F231" i="1"/>
  <c r="H231" i="1"/>
  <c r="F232" i="1"/>
  <c r="F236" i="1"/>
  <c r="G232" i="1"/>
  <c r="H232" i="1"/>
  <c r="G233" i="1"/>
  <c r="H233" i="1"/>
  <c r="G234" i="1"/>
  <c r="H234" i="1"/>
  <c r="F235" i="1"/>
  <c r="H235" i="1"/>
  <c r="H236" i="1"/>
  <c r="F237" i="1"/>
  <c r="H237" i="1"/>
  <c r="F238" i="1"/>
  <c r="H238" i="1"/>
  <c r="J238" i="1"/>
  <c r="F241" i="1"/>
  <c r="H241" i="1"/>
  <c r="F242" i="1"/>
  <c r="H242" i="1"/>
  <c r="F247" i="1"/>
  <c r="G243" i="1"/>
  <c r="F243" i="1"/>
  <c r="H243" i="1"/>
  <c r="G244" i="1"/>
  <c r="H244" i="1"/>
  <c r="G245" i="1"/>
  <c r="H245" i="1"/>
  <c r="F246" i="1"/>
  <c r="H246" i="1"/>
  <c r="H247" i="1"/>
  <c r="F248" i="1"/>
  <c r="H248" i="1"/>
  <c r="F249" i="1"/>
  <c r="H249" i="1"/>
  <c r="J249" i="1"/>
  <c r="F252" i="1"/>
  <c r="H252" i="1"/>
  <c r="F253" i="1"/>
  <c r="H253" i="1"/>
  <c r="F258" i="1"/>
  <c r="G254" i="1"/>
  <c r="F254" i="1"/>
  <c r="H254" i="1"/>
  <c r="G255" i="1"/>
  <c r="H255" i="1"/>
  <c r="G256" i="1"/>
  <c r="H256" i="1"/>
  <c r="F257" i="1"/>
  <c r="H257" i="1"/>
  <c r="H258" i="1"/>
  <c r="F259" i="1"/>
  <c r="H259" i="1"/>
  <c r="F260" i="1"/>
  <c r="H260" i="1"/>
  <c r="J260" i="1"/>
  <c r="F263" i="1"/>
  <c r="H263" i="1"/>
  <c r="F264" i="1"/>
  <c r="H264" i="1"/>
  <c r="F269" i="1"/>
  <c r="G265" i="1"/>
  <c r="F265" i="1"/>
  <c r="H265" i="1"/>
  <c r="G266" i="1"/>
  <c r="H266" i="1"/>
  <c r="G267" i="1"/>
  <c r="H267" i="1"/>
  <c r="F268" i="1"/>
  <c r="H268" i="1"/>
  <c r="H269" i="1"/>
  <c r="F270" i="1"/>
  <c r="H270" i="1"/>
  <c r="F271" i="1"/>
  <c r="H271" i="1"/>
  <c r="J271" i="1"/>
  <c r="F274" i="1"/>
  <c r="H274" i="1"/>
  <c r="F275" i="1"/>
  <c r="H275" i="1"/>
  <c r="F280" i="1"/>
  <c r="G276" i="1"/>
  <c r="F276" i="1"/>
  <c r="H276" i="1"/>
  <c r="G277" i="1"/>
  <c r="H277" i="1"/>
  <c r="G278" i="1"/>
  <c r="H278" i="1"/>
  <c r="F279" i="1"/>
  <c r="H279" i="1"/>
  <c r="H280" i="1"/>
  <c r="F281" i="1"/>
  <c r="H281" i="1"/>
  <c r="F282" i="1"/>
  <c r="H282" i="1"/>
  <c r="J282" i="1"/>
  <c r="F285" i="1"/>
  <c r="H285" i="1"/>
  <c r="F286" i="1"/>
  <c r="H286" i="1"/>
  <c r="F291" i="1"/>
  <c r="G287" i="1"/>
  <c r="F287" i="1"/>
  <c r="H287" i="1"/>
  <c r="G288" i="1"/>
  <c r="F288" i="1"/>
  <c r="H288" i="1"/>
  <c r="G289" i="1"/>
  <c r="F289" i="1"/>
  <c r="H289" i="1"/>
  <c r="F290" i="1"/>
  <c r="H290" i="1"/>
  <c r="H291" i="1"/>
  <c r="F292" i="1"/>
  <c r="H292" i="1"/>
  <c r="F293" i="1"/>
  <c r="H293" i="1"/>
  <c r="J293" i="1"/>
  <c r="F296" i="1"/>
  <c r="H296" i="1"/>
  <c r="F297" i="1"/>
  <c r="H297" i="1"/>
  <c r="F302" i="1"/>
  <c r="G298" i="1"/>
  <c r="F298" i="1"/>
  <c r="H298" i="1"/>
  <c r="G299" i="1"/>
  <c r="H299" i="1"/>
  <c r="G300" i="1"/>
  <c r="H300" i="1"/>
  <c r="F301" i="1"/>
  <c r="H301" i="1"/>
  <c r="H302" i="1"/>
  <c r="F303" i="1"/>
  <c r="H303" i="1"/>
  <c r="F304" i="1"/>
  <c r="H304" i="1"/>
  <c r="J304" i="1"/>
  <c r="F307" i="1"/>
  <c r="H307" i="1"/>
  <c r="F308" i="1"/>
  <c r="H308" i="1"/>
  <c r="F313" i="1"/>
  <c r="G309" i="1"/>
  <c r="F309" i="1"/>
  <c r="H309" i="1"/>
  <c r="G310" i="1"/>
  <c r="H310" i="1"/>
  <c r="G311" i="1"/>
  <c r="H311" i="1"/>
  <c r="F312" i="1"/>
  <c r="H312" i="1"/>
  <c r="H313" i="1"/>
  <c r="F314" i="1"/>
  <c r="H314" i="1"/>
  <c r="F315" i="1"/>
  <c r="H315" i="1"/>
  <c r="J315" i="1"/>
  <c r="F318" i="1"/>
  <c r="H318" i="1"/>
  <c r="F319" i="1"/>
  <c r="H319" i="1"/>
  <c r="F324" i="1"/>
  <c r="G320" i="1"/>
  <c r="F320" i="1"/>
  <c r="H320" i="1"/>
  <c r="G321" i="1"/>
  <c r="H321" i="1"/>
  <c r="G322" i="1"/>
  <c r="H322" i="1"/>
  <c r="F323" i="1"/>
  <c r="H323" i="1"/>
  <c r="H324" i="1"/>
  <c r="F325" i="1"/>
  <c r="H325" i="1"/>
  <c r="F326" i="1"/>
  <c r="H326" i="1"/>
  <c r="J326" i="1"/>
  <c r="F329" i="1"/>
  <c r="H329" i="1"/>
  <c r="F330" i="1"/>
  <c r="H330" i="1"/>
  <c r="F335" i="1"/>
  <c r="G331" i="1"/>
  <c r="F331" i="1"/>
  <c r="H331" i="1"/>
  <c r="G332" i="1"/>
  <c r="H332" i="1"/>
  <c r="G333" i="1"/>
  <c r="H333" i="1"/>
  <c r="F334" i="1"/>
  <c r="H334" i="1"/>
  <c r="H335" i="1"/>
  <c r="F336" i="1"/>
  <c r="H336" i="1"/>
  <c r="F337" i="1"/>
  <c r="H337" i="1"/>
  <c r="J337" i="1"/>
  <c r="F340" i="1"/>
  <c r="H340" i="1"/>
  <c r="F341" i="1"/>
  <c r="H341" i="1"/>
  <c r="F346" i="1"/>
  <c r="G342" i="1"/>
  <c r="F342" i="1"/>
  <c r="H342" i="1"/>
  <c r="G343" i="1"/>
  <c r="H343" i="1"/>
  <c r="G344" i="1"/>
  <c r="H344" i="1"/>
  <c r="F345" i="1"/>
  <c r="H345" i="1"/>
  <c r="H346" i="1"/>
  <c r="F347" i="1"/>
  <c r="H347" i="1"/>
  <c r="F348" i="1"/>
  <c r="H348" i="1"/>
  <c r="J348" i="1"/>
  <c r="F351" i="1"/>
  <c r="H351" i="1"/>
  <c r="F352" i="1"/>
  <c r="H352" i="1"/>
  <c r="F357" i="1"/>
  <c r="G353" i="1"/>
  <c r="F353" i="1"/>
  <c r="H353" i="1"/>
  <c r="G354" i="1"/>
  <c r="H354" i="1"/>
  <c r="G355" i="1"/>
  <c r="H355" i="1"/>
  <c r="F356" i="1"/>
  <c r="H356" i="1"/>
  <c r="H357" i="1"/>
  <c r="F358" i="1"/>
  <c r="H358" i="1"/>
  <c r="F359" i="1"/>
  <c r="H359" i="1"/>
  <c r="J359" i="1"/>
  <c r="F362" i="1"/>
  <c r="H362" i="1"/>
  <c r="F363" i="1"/>
  <c r="H363" i="1"/>
  <c r="F368" i="1"/>
  <c r="G364" i="1"/>
  <c r="F364" i="1"/>
  <c r="H364" i="1"/>
  <c r="G365" i="1"/>
  <c r="H365" i="1"/>
  <c r="G366" i="1"/>
  <c r="H366" i="1"/>
  <c r="F367" i="1"/>
  <c r="H367" i="1"/>
  <c r="H368" i="1"/>
  <c r="F369" i="1"/>
  <c r="H369" i="1"/>
  <c r="F370" i="1"/>
  <c r="H370" i="1"/>
  <c r="J370" i="1"/>
  <c r="F373" i="1"/>
  <c r="H373" i="1"/>
  <c r="F374" i="1"/>
  <c r="H374" i="1"/>
  <c r="F379" i="1"/>
  <c r="G375" i="1"/>
  <c r="F375" i="1"/>
  <c r="H375" i="1"/>
  <c r="G376" i="1"/>
  <c r="H376" i="1"/>
  <c r="G377" i="1"/>
  <c r="H377" i="1"/>
  <c r="F378" i="1"/>
  <c r="H378" i="1"/>
  <c r="H379" i="1"/>
  <c r="F380" i="1"/>
  <c r="H380" i="1"/>
  <c r="F381" i="1"/>
  <c r="H381" i="1"/>
  <c r="J381" i="1"/>
  <c r="F384" i="1"/>
  <c r="H384" i="1"/>
  <c r="F385" i="1"/>
  <c r="H385" i="1"/>
  <c r="F390" i="1"/>
  <c r="G386" i="1"/>
  <c r="F386" i="1"/>
  <c r="H386" i="1"/>
  <c r="G387" i="1"/>
  <c r="H387" i="1"/>
  <c r="G388" i="1"/>
  <c r="H388" i="1"/>
  <c r="F389" i="1"/>
  <c r="H389" i="1"/>
  <c r="H390" i="1"/>
  <c r="F391" i="1"/>
  <c r="H391" i="1"/>
  <c r="F392" i="1"/>
  <c r="H392" i="1"/>
  <c r="J392" i="1"/>
  <c r="F395" i="1"/>
  <c r="H395" i="1"/>
  <c r="F396" i="1"/>
  <c r="H396" i="1"/>
  <c r="F401" i="1"/>
  <c r="G397" i="1"/>
  <c r="F397" i="1"/>
  <c r="H397" i="1"/>
  <c r="G398" i="1"/>
  <c r="H398" i="1"/>
  <c r="G399" i="1"/>
  <c r="H399" i="1"/>
  <c r="F400" i="1"/>
  <c r="H400" i="1"/>
  <c r="H401" i="1"/>
  <c r="F402" i="1"/>
  <c r="H402" i="1"/>
  <c r="F403" i="1"/>
  <c r="H403" i="1"/>
  <c r="J403" i="1"/>
  <c r="F406" i="1"/>
  <c r="H406" i="1"/>
  <c r="F407" i="1"/>
  <c r="H407" i="1"/>
  <c r="F412" i="1"/>
  <c r="G408" i="1"/>
  <c r="F408" i="1"/>
  <c r="H408" i="1"/>
  <c r="G409" i="1"/>
  <c r="H409" i="1"/>
  <c r="G410" i="1"/>
  <c r="H410" i="1"/>
  <c r="F411" i="1"/>
  <c r="H411" i="1"/>
  <c r="H412" i="1"/>
  <c r="F413" i="1"/>
  <c r="H413" i="1"/>
  <c r="F414" i="1"/>
  <c r="H414" i="1"/>
  <c r="J414" i="1"/>
  <c r="F417" i="1"/>
  <c r="H417" i="1"/>
  <c r="F418" i="1"/>
  <c r="H418" i="1"/>
  <c r="F423" i="1"/>
  <c r="G419" i="1"/>
  <c r="F419" i="1"/>
  <c r="H419" i="1"/>
  <c r="G420" i="1"/>
  <c r="H420" i="1"/>
  <c r="G421" i="1"/>
  <c r="H421" i="1"/>
  <c r="F422" i="1"/>
  <c r="H422" i="1"/>
  <c r="H423" i="1"/>
  <c r="F424" i="1"/>
  <c r="H424" i="1"/>
  <c r="F425" i="1"/>
  <c r="H425" i="1"/>
  <c r="J425" i="1"/>
  <c r="F428" i="1"/>
  <c r="H428" i="1"/>
  <c r="F429" i="1"/>
  <c r="H429" i="1"/>
  <c r="F434" i="1"/>
  <c r="G430" i="1"/>
  <c r="F430" i="1"/>
  <c r="H430" i="1"/>
  <c r="G431" i="1"/>
  <c r="H431" i="1"/>
  <c r="G432" i="1"/>
  <c r="H432" i="1"/>
  <c r="F433" i="1"/>
  <c r="H433" i="1"/>
  <c r="H434" i="1"/>
  <c r="F435" i="1"/>
  <c r="H435" i="1"/>
  <c r="F436" i="1"/>
  <c r="H436" i="1"/>
  <c r="J436" i="1"/>
  <c r="F439" i="1"/>
  <c r="H439" i="1"/>
  <c r="F440" i="1"/>
  <c r="H440" i="1"/>
  <c r="F445" i="1"/>
  <c r="G441" i="1"/>
  <c r="F441" i="1"/>
  <c r="H441" i="1"/>
  <c r="G442" i="1"/>
  <c r="H442" i="1"/>
  <c r="G443" i="1"/>
  <c r="H443" i="1"/>
  <c r="F444" i="1"/>
  <c r="H444" i="1"/>
  <c r="H445" i="1"/>
  <c r="F446" i="1"/>
  <c r="H446" i="1"/>
  <c r="F447" i="1"/>
  <c r="H447" i="1"/>
  <c r="J447" i="1"/>
  <c r="F450" i="1"/>
  <c r="H450" i="1"/>
  <c r="F451" i="1"/>
  <c r="H451" i="1"/>
  <c r="F456" i="1"/>
  <c r="G452" i="1"/>
  <c r="F452" i="1"/>
  <c r="H452" i="1"/>
  <c r="G453" i="1"/>
  <c r="H453" i="1"/>
  <c r="G454" i="1"/>
  <c r="H454" i="1"/>
  <c r="F455" i="1"/>
  <c r="H455" i="1"/>
  <c r="H456" i="1"/>
  <c r="F457" i="1"/>
  <c r="H457" i="1"/>
  <c r="F458" i="1"/>
  <c r="H458" i="1"/>
  <c r="J458" i="1"/>
  <c r="F464" i="1"/>
  <c r="H464" i="1"/>
  <c r="F465" i="1"/>
  <c r="H465" i="1"/>
  <c r="F470" i="1"/>
  <c r="G466" i="1"/>
  <c r="F466" i="1"/>
  <c r="H466" i="1"/>
  <c r="G467" i="1"/>
  <c r="H467" i="1"/>
  <c r="G468" i="1"/>
  <c r="H468" i="1"/>
  <c r="F469" i="1"/>
  <c r="H469" i="1"/>
  <c r="H470" i="1"/>
  <c r="F471" i="1"/>
  <c r="H471" i="1"/>
  <c r="F472" i="1"/>
  <c r="H472" i="1"/>
  <c r="J472" i="1"/>
  <c r="F475" i="1"/>
  <c r="H475" i="1"/>
  <c r="F476" i="1"/>
  <c r="H476" i="1"/>
  <c r="F481" i="1"/>
  <c r="G477" i="1"/>
  <c r="F477" i="1"/>
  <c r="H477" i="1"/>
  <c r="G478" i="1"/>
  <c r="H478" i="1"/>
  <c r="G479" i="1"/>
  <c r="H479" i="1"/>
  <c r="F480" i="1"/>
  <c r="H480" i="1"/>
  <c r="H481" i="1"/>
  <c r="F482" i="1"/>
  <c r="H482" i="1"/>
  <c r="F483" i="1"/>
  <c r="H483" i="1"/>
  <c r="J483" i="1"/>
  <c r="F486" i="1"/>
  <c r="H486" i="1"/>
  <c r="F487" i="1"/>
  <c r="H487" i="1"/>
  <c r="F492" i="1"/>
  <c r="G488" i="1"/>
  <c r="F488" i="1"/>
  <c r="H488" i="1"/>
  <c r="G489" i="1"/>
  <c r="H489" i="1"/>
  <c r="G490" i="1"/>
  <c r="H490" i="1"/>
  <c r="F491" i="1"/>
  <c r="H491" i="1"/>
  <c r="H492" i="1"/>
  <c r="F493" i="1"/>
  <c r="H493" i="1"/>
  <c r="F494" i="1"/>
  <c r="H494" i="1"/>
  <c r="J494" i="1"/>
  <c r="H496" i="1"/>
  <c r="H513" i="1"/>
  <c r="F546" i="1"/>
  <c r="H546" i="1"/>
  <c r="O546" i="1"/>
  <c r="H547" i="1"/>
  <c r="J547" i="1"/>
  <c r="O547" i="1"/>
  <c r="O549" i="1"/>
  <c r="O18" i="1"/>
  <c r="O561" i="1"/>
  <c r="O565" i="1"/>
  <c r="O20" i="1"/>
  <c r="O574" i="1"/>
  <c r="O22" i="1"/>
  <c r="O581" i="1"/>
  <c r="O24" i="1"/>
  <c r="O586" i="1"/>
  <c r="O26" i="1"/>
  <c r="O609" i="1"/>
  <c r="O28" i="1"/>
  <c r="O614" i="1"/>
  <c r="O30" i="1"/>
  <c r="H617" i="1"/>
  <c r="O617" i="1"/>
  <c r="H618" i="1"/>
  <c r="O618" i="1"/>
  <c r="H619" i="1"/>
  <c r="O619" i="1"/>
  <c r="O620" i="1"/>
  <c r="O32" i="1"/>
  <c r="O624" i="1"/>
  <c r="O627" i="1"/>
  <c r="O34" i="1"/>
  <c r="H633" i="1"/>
  <c r="O633" i="1"/>
  <c r="H635" i="1"/>
  <c r="O635" i="1"/>
  <c r="O636" i="1"/>
  <c r="O36" i="1"/>
  <c r="O642" i="1"/>
  <c r="O643" i="1"/>
  <c r="O38" i="1"/>
  <c r="H662" i="1"/>
  <c r="O662" i="1"/>
  <c r="O679" i="1"/>
  <c r="O40" i="1"/>
  <c r="O684" i="1"/>
  <c r="O42" i="1"/>
  <c r="H691" i="1"/>
  <c r="O691" i="1"/>
  <c r="H692" i="1"/>
  <c r="O692" i="1"/>
  <c r="O695" i="1"/>
  <c r="O709" i="1"/>
  <c r="O713" i="1"/>
  <c r="O44" i="1"/>
  <c r="O721" i="1"/>
  <c r="O722" i="1"/>
  <c r="O46" i="1"/>
  <c r="O731" i="1"/>
  <c r="O48" i="1"/>
  <c r="O734" i="1"/>
  <c r="O735" i="1"/>
  <c r="O736" i="1"/>
  <c r="O737" i="1"/>
  <c r="O738" i="1"/>
  <c r="O739" i="1"/>
  <c r="O740" i="1"/>
  <c r="O741" i="1"/>
  <c r="O742" i="1"/>
  <c r="O743" i="1"/>
  <c r="O744" i="1"/>
  <c r="O745" i="1"/>
  <c r="O746" i="1"/>
  <c r="O747" i="1"/>
  <c r="O50" i="1"/>
  <c r="O754" i="1"/>
  <c r="O52" i="1"/>
  <c r="O762" i="1"/>
  <c r="O56" i="1"/>
  <c r="O62" i="1"/>
  <c r="P62" i="1"/>
  <c r="P14" i="1"/>
  <c r="P10" i="1"/>
  <c r="P8" i="1"/>
  <c r="H70" i="1"/>
  <c r="H71" i="1"/>
  <c r="H72" i="1"/>
  <c r="H73" i="1"/>
  <c r="H74" i="1"/>
  <c r="H75" i="1"/>
  <c r="H76" i="1"/>
  <c r="H8" i="1"/>
  <c r="I71" i="1"/>
  <c r="I76" i="1"/>
  <c r="I8" i="1"/>
  <c r="J8" i="1"/>
  <c r="H612" i="1"/>
  <c r="I612" i="1"/>
  <c r="H522" i="1"/>
  <c r="H523" i="1"/>
  <c r="H524" i="1"/>
  <c r="H525" i="1"/>
  <c r="F526" i="1"/>
  <c r="H526" i="1"/>
  <c r="J526" i="1"/>
  <c r="F530" i="1"/>
  <c r="J530" i="1"/>
  <c r="F534" i="1"/>
  <c r="H534" i="1"/>
  <c r="F535" i="1"/>
  <c r="J535" i="1"/>
  <c r="H517" i="1"/>
  <c r="H518" i="1"/>
  <c r="H520" i="1"/>
  <c r="J520" i="1"/>
  <c r="F545" i="1"/>
  <c r="H545" i="1"/>
  <c r="H549" i="1"/>
  <c r="H607" i="1"/>
  <c r="H606" i="1"/>
  <c r="H608" i="1"/>
  <c r="H609" i="1"/>
  <c r="H613" i="1"/>
  <c r="H614" i="1"/>
  <c r="H722" i="1"/>
  <c r="H762" i="1"/>
  <c r="H757" i="1"/>
  <c r="H758" i="1"/>
  <c r="H753" i="1"/>
  <c r="H754" i="1"/>
  <c r="H747" i="1"/>
  <c r="H731" i="1"/>
  <c r="H706" i="1"/>
  <c r="H705" i="1"/>
  <c r="H703" i="1"/>
  <c r="H702" i="1"/>
  <c r="H700" i="1"/>
  <c r="H694" i="1"/>
  <c r="H693" i="1"/>
  <c r="H690" i="1"/>
  <c r="H713" i="1"/>
  <c r="H684" i="1"/>
  <c r="H660" i="1"/>
  <c r="H679" i="1"/>
  <c r="H643" i="1"/>
  <c r="H636" i="1"/>
  <c r="H627" i="1"/>
  <c r="H620" i="1"/>
  <c r="H586" i="1"/>
  <c r="H579" i="1"/>
  <c r="H581" i="1"/>
  <c r="H569" i="1"/>
  <c r="H574" i="1"/>
  <c r="H563" i="1"/>
  <c r="H565" i="1"/>
  <c r="G535" i="1"/>
  <c r="H535" i="1"/>
  <c r="H528" i="1"/>
  <c r="H529" i="1"/>
  <c r="H530" i="1"/>
  <c r="H542" i="1"/>
  <c r="H89" i="1"/>
  <c r="H79" i="1"/>
  <c r="H80" i="1"/>
  <c r="H81" i="1"/>
  <c r="H82" i="1"/>
  <c r="F771" i="1"/>
  <c r="H771" i="1"/>
  <c r="H60" i="1"/>
  <c r="F765" i="1"/>
  <c r="H765" i="1"/>
  <c r="F766" i="1"/>
  <c r="H766" i="1"/>
  <c r="H768" i="1"/>
  <c r="H58" i="1"/>
  <c r="H18" i="1"/>
  <c r="H14" i="1"/>
  <c r="H28" i="1"/>
  <c r="H30" i="1"/>
  <c r="H46" i="1"/>
  <c r="H56" i="1"/>
  <c r="H54" i="1"/>
  <c r="H52" i="1"/>
  <c r="H50" i="1"/>
  <c r="H48" i="1"/>
  <c r="H44" i="1"/>
  <c r="H42" i="1"/>
  <c r="H40" i="1"/>
  <c r="H38" i="1"/>
  <c r="H36" i="1"/>
  <c r="H34" i="1"/>
  <c r="H32" i="1"/>
  <c r="H26" i="1"/>
  <c r="H24" i="1"/>
  <c r="H22" i="1"/>
  <c r="H20" i="1"/>
  <c r="H16" i="1"/>
  <c r="H12" i="1"/>
  <c r="H10" i="1"/>
  <c r="H62" i="1"/>
  <c r="I607" i="1"/>
  <c r="I609" i="1"/>
  <c r="I28" i="1"/>
  <c r="I614" i="1"/>
  <c r="I30" i="1"/>
  <c r="I721" i="1"/>
  <c r="I719" i="1"/>
  <c r="I718" i="1"/>
  <c r="I722" i="1"/>
  <c r="I46" i="1"/>
  <c r="I60" i="1"/>
  <c r="I762" i="1"/>
  <c r="I56" i="1"/>
  <c r="I757" i="1"/>
  <c r="I758" i="1"/>
  <c r="I54" i="1"/>
  <c r="I751" i="1"/>
  <c r="I752" i="1"/>
  <c r="I753" i="1"/>
  <c r="I754" i="1"/>
  <c r="I52" i="1"/>
  <c r="I734" i="1"/>
  <c r="I737" i="1"/>
  <c r="I738" i="1"/>
  <c r="I739" i="1"/>
  <c r="I740" i="1"/>
  <c r="I743" i="1"/>
  <c r="I744" i="1"/>
  <c r="I745" i="1"/>
  <c r="I747" i="1"/>
  <c r="I50" i="1"/>
  <c r="I727" i="1"/>
  <c r="I731" i="1"/>
  <c r="I48" i="1"/>
  <c r="I712" i="1"/>
  <c r="I711" i="1"/>
  <c r="I709" i="1"/>
  <c r="I708" i="1"/>
  <c r="I700" i="1"/>
  <c r="I694" i="1"/>
  <c r="I693" i="1"/>
  <c r="I692" i="1"/>
  <c r="I691" i="1"/>
  <c r="I688" i="1"/>
  <c r="I713" i="1"/>
  <c r="I44" i="1"/>
  <c r="I682" i="1"/>
  <c r="I683" i="1"/>
  <c r="I684" i="1"/>
  <c r="I42" i="1"/>
  <c r="I649" i="1"/>
  <c r="I653" i="1"/>
  <c r="I657" i="1"/>
  <c r="I660" i="1"/>
  <c r="I662" i="1"/>
  <c r="I668" i="1"/>
  <c r="I671" i="1"/>
  <c r="I673" i="1"/>
  <c r="I674" i="1"/>
  <c r="I675" i="1"/>
  <c r="I676" i="1"/>
  <c r="I677" i="1"/>
  <c r="I678" i="1"/>
  <c r="I679" i="1"/>
  <c r="I40" i="1"/>
  <c r="I642" i="1"/>
  <c r="I643" i="1"/>
  <c r="I38" i="1"/>
  <c r="I633" i="1"/>
  <c r="I635" i="1"/>
  <c r="I636" i="1"/>
  <c r="I36" i="1"/>
  <c r="I624" i="1"/>
  <c r="I625" i="1"/>
  <c r="I626" i="1"/>
  <c r="I627" i="1"/>
  <c r="I34" i="1"/>
  <c r="I620" i="1"/>
  <c r="I32" i="1"/>
  <c r="I584" i="1"/>
  <c r="I585" i="1"/>
  <c r="I586" i="1"/>
  <c r="I26" i="1"/>
  <c r="I577" i="1"/>
  <c r="I578" i="1"/>
  <c r="I579" i="1"/>
  <c r="I581" i="1"/>
  <c r="I24" i="1"/>
  <c r="I568" i="1"/>
  <c r="I571" i="1"/>
  <c r="I572" i="1"/>
  <c r="I574" i="1"/>
  <c r="I22" i="1"/>
  <c r="I553" i="1"/>
  <c r="I555" i="1"/>
  <c r="I557" i="1"/>
  <c r="I559" i="1"/>
  <c r="I561" i="1"/>
  <c r="I563" i="1"/>
  <c r="I564" i="1"/>
  <c r="I565" i="1"/>
  <c r="I20" i="1"/>
  <c r="I549" i="1"/>
  <c r="I18" i="1"/>
  <c r="I542" i="1"/>
  <c r="I16" i="1"/>
  <c r="I496" i="1"/>
  <c r="I14" i="1"/>
  <c r="I86" i="1"/>
  <c r="I89" i="1"/>
  <c r="I12" i="1"/>
  <c r="I79" i="1"/>
  <c r="I82" i="1"/>
  <c r="I10" i="1"/>
  <c r="I62" i="1"/>
  <c r="J62" i="1"/>
  <c r="J79" i="1"/>
  <c r="J80" i="1"/>
  <c r="J81" i="1"/>
  <c r="J82" i="1"/>
  <c r="J10" i="1"/>
  <c r="J86" i="1"/>
  <c r="J85" i="1"/>
  <c r="J87" i="1"/>
  <c r="J88" i="1"/>
  <c r="J89" i="1"/>
  <c r="J12" i="1"/>
  <c r="J546" i="1"/>
  <c r="J545" i="1"/>
  <c r="J548" i="1"/>
  <c r="J549" i="1"/>
  <c r="J18" i="1"/>
  <c r="J14" i="1"/>
  <c r="J617" i="1"/>
  <c r="J618" i="1"/>
  <c r="J619" i="1"/>
  <c r="J620" i="1"/>
  <c r="J32" i="1"/>
  <c r="J691" i="1"/>
  <c r="J692" i="1"/>
  <c r="J695" i="1"/>
  <c r="J708" i="1"/>
  <c r="J709" i="1"/>
  <c r="J712" i="1"/>
  <c r="J711" i="1"/>
  <c r="J706" i="1"/>
  <c r="J705" i="1"/>
  <c r="J703" i="1"/>
  <c r="J702" i="1"/>
  <c r="J700" i="1"/>
  <c r="J694" i="1"/>
  <c r="J693" i="1"/>
  <c r="J690" i="1"/>
  <c r="J688" i="1"/>
  <c r="J713" i="1"/>
  <c r="J44" i="1"/>
  <c r="J727" i="1"/>
  <c r="J729" i="1"/>
  <c r="J731" i="1"/>
  <c r="J48" i="1"/>
  <c r="J735" i="1"/>
  <c r="J734" i="1"/>
  <c r="J736" i="1"/>
  <c r="J737" i="1"/>
  <c r="J739" i="1"/>
  <c r="J741" i="1"/>
  <c r="J742" i="1"/>
  <c r="J745" i="1"/>
  <c r="J738" i="1"/>
  <c r="J740" i="1"/>
  <c r="J743" i="1"/>
  <c r="J744" i="1"/>
  <c r="J746" i="1"/>
  <c r="J747" i="1"/>
  <c r="J50" i="1"/>
  <c r="J752" i="1"/>
  <c r="J751" i="1"/>
  <c r="J753" i="1"/>
  <c r="J754" i="1"/>
  <c r="J52" i="1"/>
  <c r="J757" i="1"/>
  <c r="J513" i="1"/>
  <c r="I768" i="1"/>
  <c r="J768" i="1"/>
  <c r="J771" i="1"/>
  <c r="J721" i="1"/>
  <c r="J719" i="1"/>
  <c r="J718" i="1"/>
  <c r="J722" i="1"/>
  <c r="J675" i="1"/>
  <c r="J676" i="1"/>
  <c r="J677" i="1"/>
  <c r="J649" i="1"/>
  <c r="J653" i="1"/>
  <c r="J657" i="1"/>
  <c r="J660" i="1"/>
  <c r="J662" i="1"/>
  <c r="J668" i="1"/>
  <c r="J671" i="1"/>
  <c r="J673" i="1"/>
  <c r="J674" i="1"/>
  <c r="J678" i="1"/>
  <c r="J679" i="1"/>
  <c r="J624" i="1"/>
  <c r="J625" i="1"/>
  <c r="J626" i="1"/>
  <c r="J627" i="1"/>
  <c r="J606" i="1"/>
  <c r="J607" i="1"/>
  <c r="J608" i="1"/>
  <c r="J609" i="1"/>
  <c r="J580" i="1"/>
  <c r="J577" i="1"/>
  <c r="J578" i="1"/>
  <c r="J579" i="1"/>
  <c r="J581" i="1"/>
  <c r="J568" i="1"/>
  <c r="J569" i="1"/>
  <c r="J571" i="1"/>
  <c r="J572" i="1"/>
  <c r="J574" i="1"/>
  <c r="F540" i="1"/>
  <c r="H540" i="1"/>
  <c r="F525" i="1"/>
  <c r="J758" i="1"/>
  <c r="J54" i="1"/>
  <c r="M758" i="1"/>
  <c r="N757" i="1"/>
  <c r="N758" i="1"/>
  <c r="O758" i="1"/>
  <c r="P758" i="1"/>
  <c r="C758" i="1"/>
  <c r="C636" i="1"/>
  <c r="N766" i="1"/>
  <c r="J767" i="1"/>
  <c r="P60" i="1"/>
  <c r="O60" i="1"/>
  <c r="J60" i="1"/>
  <c r="J509" i="1"/>
  <c r="J511" i="1"/>
  <c r="J496" i="1"/>
  <c r="I511" i="1"/>
  <c r="H5" i="1"/>
  <c r="J584" i="1"/>
  <c r="J585" i="1"/>
  <c r="J586" i="1"/>
  <c r="J555" i="1"/>
  <c r="G520" i="1"/>
  <c r="F520" i="1"/>
  <c r="G501" i="1"/>
  <c r="O509" i="1"/>
  <c r="O508" i="1"/>
  <c r="O506" i="1"/>
  <c r="N505" i="1"/>
  <c r="N504" i="1"/>
  <c r="N503" i="1"/>
  <c r="N502" i="1"/>
  <c r="M501" i="1"/>
  <c r="F149" i="1"/>
  <c r="F160" i="1"/>
  <c r="O114" i="1"/>
  <c r="O125" i="1"/>
  <c r="O150" i="1"/>
  <c r="O483" i="1"/>
  <c r="O472" i="1"/>
  <c r="O458" i="1"/>
  <c r="O447" i="1"/>
  <c r="O436" i="1"/>
  <c r="O425" i="1"/>
  <c r="O414" i="1"/>
  <c r="O403" i="1"/>
  <c r="O392" i="1"/>
  <c r="O370" i="1"/>
  <c r="O359" i="1"/>
  <c r="O348" i="1"/>
  <c r="O315" i="1"/>
  <c r="O304" i="1"/>
  <c r="O293" i="1"/>
  <c r="O282" i="1"/>
  <c r="O271" i="1"/>
  <c r="O260" i="1"/>
  <c r="O249" i="1"/>
  <c r="O238" i="1"/>
  <c r="O227" i="1"/>
  <c r="O136" i="1"/>
  <c r="O205" i="1"/>
  <c r="O194" i="1"/>
  <c r="O183" i="1"/>
  <c r="O172" i="1"/>
  <c r="O216" i="1"/>
  <c r="G530" i="1"/>
  <c r="H532" i="1"/>
  <c r="H533" i="1"/>
  <c r="O494" i="1"/>
  <c r="O493" i="1"/>
  <c r="O491" i="1"/>
  <c r="N490" i="1"/>
  <c r="N489" i="1"/>
  <c r="N488" i="1"/>
  <c r="N487" i="1"/>
  <c r="M486" i="1"/>
  <c r="O381" i="1"/>
  <c r="O380" i="1"/>
  <c r="O378" i="1"/>
  <c r="N377" i="1"/>
  <c r="N376" i="1"/>
  <c r="N375" i="1"/>
  <c r="N374" i="1"/>
  <c r="M373" i="1"/>
  <c r="O337" i="1"/>
  <c r="O336" i="1"/>
  <c r="O334" i="1"/>
  <c r="N333" i="1"/>
  <c r="N332" i="1"/>
  <c r="N331" i="1"/>
  <c r="N330" i="1"/>
  <c r="M329" i="1"/>
  <c r="O326" i="1"/>
  <c r="O325" i="1"/>
  <c r="O323" i="1"/>
  <c r="N322" i="1"/>
  <c r="N321" i="1"/>
  <c r="N320" i="1"/>
  <c r="N319" i="1"/>
  <c r="M318" i="1"/>
  <c r="O161" i="1"/>
  <c r="O160" i="1"/>
  <c r="O158" i="1"/>
  <c r="N157" i="1"/>
  <c r="N156" i="1"/>
  <c r="N155" i="1"/>
  <c r="N154" i="1"/>
  <c r="M153" i="1"/>
  <c r="O103" i="1"/>
  <c r="O102" i="1"/>
  <c r="O100" i="1"/>
  <c r="N99" i="1"/>
  <c r="N98" i="1"/>
  <c r="N97" i="1"/>
  <c r="N96" i="1"/>
  <c r="M95" i="1"/>
  <c r="J71" i="1"/>
  <c r="J633" i="1"/>
  <c r="J635" i="1"/>
  <c r="J636" i="1"/>
  <c r="C722" i="1"/>
  <c r="C731" i="1"/>
  <c r="C754" i="1"/>
  <c r="C643" i="1"/>
  <c r="C627" i="1"/>
  <c r="C620" i="1"/>
  <c r="C614" i="1"/>
  <c r="C581" i="1"/>
  <c r="C574" i="1"/>
  <c r="C565" i="1"/>
  <c r="C549" i="1"/>
  <c r="C76" i="1"/>
  <c r="C713" i="1"/>
  <c r="C684" i="1"/>
  <c r="C679" i="1"/>
  <c r="C89" i="1"/>
  <c r="C82" i="1"/>
  <c r="C609" i="1"/>
  <c r="C747" i="1"/>
  <c r="C762" i="1"/>
  <c r="J553" i="1"/>
  <c r="J557" i="1"/>
  <c r="J559" i="1"/>
  <c r="J561" i="1"/>
  <c r="J563" i="1"/>
  <c r="J564" i="1"/>
  <c r="J565" i="1"/>
  <c r="M142" i="1"/>
  <c r="M117" i="1"/>
  <c r="M164" i="1"/>
  <c r="M175" i="1"/>
  <c r="M186" i="1"/>
  <c r="M197" i="1"/>
  <c r="M106" i="1"/>
  <c r="M128" i="1"/>
  <c r="M208" i="1"/>
  <c r="M219" i="1"/>
  <c r="M230" i="1"/>
  <c r="M241" i="1"/>
  <c r="M252" i="1"/>
  <c r="M263" i="1"/>
  <c r="M274" i="1"/>
  <c r="M285" i="1"/>
  <c r="M296" i="1"/>
  <c r="M307" i="1"/>
  <c r="M340" i="1"/>
  <c r="M351" i="1"/>
  <c r="M362" i="1"/>
  <c r="M384" i="1"/>
  <c r="M395" i="1"/>
  <c r="M406" i="1"/>
  <c r="M417" i="1"/>
  <c r="M428" i="1"/>
  <c r="M439" i="1"/>
  <c r="M450" i="1"/>
  <c r="M464" i="1"/>
  <c r="M475" i="1"/>
  <c r="N143" i="1"/>
  <c r="N144" i="1"/>
  <c r="N145" i="1"/>
  <c r="N146" i="1"/>
  <c r="N118" i="1"/>
  <c r="N119" i="1"/>
  <c r="N120" i="1"/>
  <c r="N121" i="1"/>
  <c r="N165" i="1"/>
  <c r="N166" i="1"/>
  <c r="N167" i="1"/>
  <c r="N168" i="1"/>
  <c r="N176" i="1"/>
  <c r="N177" i="1"/>
  <c r="N178" i="1"/>
  <c r="N179" i="1"/>
  <c r="N187" i="1"/>
  <c r="N188" i="1"/>
  <c r="N189" i="1"/>
  <c r="N190" i="1"/>
  <c r="N198" i="1"/>
  <c r="N199" i="1"/>
  <c r="N200" i="1"/>
  <c r="N201" i="1"/>
  <c r="N107" i="1"/>
  <c r="N108" i="1"/>
  <c r="N109" i="1"/>
  <c r="N110" i="1"/>
  <c r="N129" i="1"/>
  <c r="N130" i="1"/>
  <c r="N131" i="1"/>
  <c r="N132" i="1"/>
  <c r="N209" i="1"/>
  <c r="N210" i="1"/>
  <c r="N211" i="1"/>
  <c r="N212" i="1"/>
  <c r="N220" i="1"/>
  <c r="N221" i="1"/>
  <c r="N222" i="1"/>
  <c r="N223" i="1"/>
  <c r="N231" i="1"/>
  <c r="N232" i="1"/>
  <c r="N233" i="1"/>
  <c r="N234" i="1"/>
  <c r="N242" i="1"/>
  <c r="N243" i="1"/>
  <c r="N244" i="1"/>
  <c r="N245" i="1"/>
  <c r="N253" i="1"/>
  <c r="N254" i="1"/>
  <c r="N255" i="1"/>
  <c r="N256" i="1"/>
  <c r="N264" i="1"/>
  <c r="N265" i="1"/>
  <c r="N266" i="1"/>
  <c r="N267" i="1"/>
  <c r="N275" i="1"/>
  <c r="N276" i="1"/>
  <c r="N277" i="1"/>
  <c r="N278" i="1"/>
  <c r="N286" i="1"/>
  <c r="N287" i="1"/>
  <c r="N288" i="1"/>
  <c r="N289" i="1"/>
  <c r="N297" i="1"/>
  <c r="N298" i="1"/>
  <c r="N299" i="1"/>
  <c r="N300" i="1"/>
  <c r="N308" i="1"/>
  <c r="N309" i="1"/>
  <c r="N310" i="1"/>
  <c r="N311" i="1"/>
  <c r="N341" i="1"/>
  <c r="N342" i="1"/>
  <c r="N343" i="1"/>
  <c r="N344" i="1"/>
  <c r="N352" i="1"/>
  <c r="N353" i="1"/>
  <c r="N354" i="1"/>
  <c r="N355" i="1"/>
  <c r="N363" i="1"/>
  <c r="N364" i="1"/>
  <c r="N365" i="1"/>
  <c r="N366" i="1"/>
  <c r="N385" i="1"/>
  <c r="N386" i="1"/>
  <c r="N387" i="1"/>
  <c r="N388" i="1"/>
  <c r="N396" i="1"/>
  <c r="N397" i="1"/>
  <c r="N398" i="1"/>
  <c r="N399" i="1"/>
  <c r="N407" i="1"/>
  <c r="N408" i="1"/>
  <c r="N409" i="1"/>
  <c r="N410" i="1"/>
  <c r="N418" i="1"/>
  <c r="N419" i="1"/>
  <c r="N420" i="1"/>
  <c r="N421" i="1"/>
  <c r="N429" i="1"/>
  <c r="N430" i="1"/>
  <c r="N431" i="1"/>
  <c r="N432" i="1"/>
  <c r="N440" i="1"/>
  <c r="N441" i="1"/>
  <c r="N442" i="1"/>
  <c r="N443" i="1"/>
  <c r="N451" i="1"/>
  <c r="N452" i="1"/>
  <c r="N453" i="1"/>
  <c r="N454" i="1"/>
  <c r="N465" i="1"/>
  <c r="N466" i="1"/>
  <c r="N467" i="1"/>
  <c r="N468" i="1"/>
  <c r="N476" i="1"/>
  <c r="N477" i="1"/>
  <c r="N478" i="1"/>
  <c r="N479" i="1"/>
  <c r="O147" i="1"/>
  <c r="O149" i="1"/>
  <c r="O122" i="1"/>
  <c r="O124" i="1"/>
  <c r="O169" i="1"/>
  <c r="O171" i="1"/>
  <c r="O180" i="1"/>
  <c r="O182" i="1"/>
  <c r="O191" i="1"/>
  <c r="O193" i="1"/>
  <c r="O202" i="1"/>
  <c r="O204" i="1"/>
  <c r="O111" i="1"/>
  <c r="O113" i="1"/>
  <c r="O133" i="1"/>
  <c r="O135" i="1"/>
  <c r="O213" i="1"/>
  <c r="O215" i="1"/>
  <c r="O224" i="1"/>
  <c r="O226" i="1"/>
  <c r="O235" i="1"/>
  <c r="O237" i="1"/>
  <c r="O246" i="1"/>
  <c r="O248" i="1"/>
  <c r="O257" i="1"/>
  <c r="O259" i="1"/>
  <c r="O268" i="1"/>
  <c r="O270" i="1"/>
  <c r="O279" i="1"/>
  <c r="O281" i="1"/>
  <c r="O290" i="1"/>
  <c r="O292" i="1"/>
  <c r="O301" i="1"/>
  <c r="O303" i="1"/>
  <c r="O312" i="1"/>
  <c r="O314" i="1"/>
  <c r="O345" i="1"/>
  <c r="O347" i="1"/>
  <c r="O356" i="1"/>
  <c r="O358" i="1"/>
  <c r="O367" i="1"/>
  <c r="O369" i="1"/>
  <c r="O389" i="1"/>
  <c r="O391" i="1"/>
  <c r="O400" i="1"/>
  <c r="O402" i="1"/>
  <c r="O411" i="1"/>
  <c r="O413" i="1"/>
  <c r="O422" i="1"/>
  <c r="O424" i="1"/>
  <c r="O433" i="1"/>
  <c r="O435" i="1"/>
  <c r="O444" i="1"/>
  <c r="O446" i="1"/>
  <c r="O455" i="1"/>
  <c r="O457" i="1"/>
  <c r="O469" i="1"/>
  <c r="O471" i="1"/>
  <c r="O480" i="1"/>
  <c r="O482" i="1"/>
  <c r="P496" i="1"/>
  <c r="J642" i="1"/>
  <c r="N76" i="1"/>
  <c r="N81" i="1"/>
  <c r="N82" i="1"/>
  <c r="O79" i="1"/>
  <c r="O82" i="1"/>
  <c r="J643" i="1"/>
  <c r="C586" i="1"/>
  <c r="J70" i="1"/>
  <c r="M70" i="1"/>
  <c r="J72" i="1"/>
  <c r="M72" i="1"/>
  <c r="J73" i="1"/>
  <c r="M73" i="1"/>
  <c r="J74" i="1"/>
  <c r="M74" i="1"/>
  <c r="J75" i="1"/>
  <c r="M75" i="1"/>
  <c r="M76" i="1"/>
  <c r="M82" i="1"/>
  <c r="P76" i="1"/>
  <c r="J76" i="1"/>
  <c r="P542" i="1"/>
  <c r="P574" i="1"/>
  <c r="D16" i="1"/>
  <c r="J20" i="1"/>
  <c r="J22" i="1"/>
  <c r="J26" i="1"/>
  <c r="J28" i="1"/>
  <c r="J612" i="1"/>
  <c r="J613" i="1"/>
  <c r="J614" i="1"/>
  <c r="J30" i="1"/>
  <c r="J34" i="1"/>
  <c r="J36" i="1"/>
  <c r="J38" i="1"/>
  <c r="J40" i="1"/>
  <c r="J682" i="1"/>
  <c r="J683" i="1"/>
  <c r="J684" i="1"/>
  <c r="J42" i="1"/>
  <c r="J46" i="1"/>
  <c r="J761" i="1"/>
  <c r="J762" i="1"/>
  <c r="J56" i="1"/>
  <c r="P636" i="1"/>
  <c r="P762" i="1"/>
  <c r="P56" i="1"/>
  <c r="D56" i="1"/>
  <c r="D14" i="1"/>
  <c r="P747" i="1"/>
  <c r="P731" i="1"/>
  <c r="P722" i="1"/>
  <c r="P713" i="1"/>
  <c r="P679" i="1"/>
  <c r="P643" i="1"/>
  <c r="P627" i="1"/>
  <c r="P620" i="1"/>
  <c r="P609" i="1"/>
  <c r="P586" i="1"/>
  <c r="P581" i="1"/>
  <c r="P565" i="1"/>
  <c r="P754" i="1"/>
  <c r="P52" i="1"/>
  <c r="P50" i="1"/>
  <c r="P48" i="1"/>
  <c r="P46" i="1"/>
  <c r="P44" i="1"/>
  <c r="P684" i="1"/>
  <c r="P42" i="1"/>
  <c r="P40" i="1"/>
  <c r="P38" i="1"/>
  <c r="P36" i="1"/>
  <c r="P34" i="1"/>
  <c r="P32" i="1"/>
  <c r="P614" i="1"/>
  <c r="P30" i="1"/>
  <c r="P28" i="1"/>
  <c r="P26" i="1"/>
  <c r="P24" i="1"/>
  <c r="P22" i="1"/>
  <c r="P20" i="1"/>
  <c r="P16" i="1"/>
  <c r="P89" i="1"/>
  <c r="P12" i="1"/>
  <c r="P82" i="1"/>
  <c r="D52" i="1"/>
  <c r="D50" i="1"/>
  <c r="D48" i="1"/>
  <c r="D46" i="1"/>
  <c r="D44" i="1"/>
  <c r="D42" i="1"/>
  <c r="D40" i="1"/>
  <c r="D38" i="1"/>
  <c r="D36" i="1"/>
  <c r="D34" i="1"/>
  <c r="D32" i="1"/>
  <c r="D30" i="1"/>
  <c r="D28" i="1"/>
  <c r="D26" i="1"/>
  <c r="D24" i="1"/>
  <c r="D22" i="1"/>
  <c r="D20" i="1"/>
  <c r="D18" i="1"/>
  <c r="D12" i="1"/>
  <c r="D10" i="1"/>
  <c r="D8" i="1"/>
  <c r="P549" i="1"/>
  <c r="P18" i="1"/>
  <c r="J24" i="1"/>
  <c r="N765" i="1"/>
  <c r="N767" i="1"/>
  <c r="N771" i="1"/>
  <c r="J542" i="1"/>
  <c r="J16" i="1"/>
  <c r="H538" i="1"/>
  <c r="H539" i="1"/>
  <c r="C542" i="1"/>
</calcChain>
</file>

<file path=xl/sharedStrings.xml><?xml version="1.0" encoding="utf-8"?>
<sst xmlns="http://schemas.openxmlformats.org/spreadsheetml/2006/main" count="1344" uniqueCount="346">
  <si>
    <t>TOTAL RUBRO 21</t>
  </si>
  <si>
    <t>TOTAL RUBRO 20</t>
  </si>
  <si>
    <t>TOTAL RUBRO 18</t>
  </si>
  <si>
    <t>MOTORHOMES, TRAILERS Y CAMIONES DE CARGA</t>
  </si>
  <si>
    <t>PASAJES AL INTERIOR</t>
  </si>
  <si>
    <t>LIBRO / ARGUMENTO / GUION</t>
  </si>
  <si>
    <t>VEHICULOS DE PRODUCCION</t>
  </si>
  <si>
    <t>FINANCIERO POR ETAPAS (sin IVA)</t>
  </si>
  <si>
    <t>MUSICA</t>
  </si>
  <si>
    <t>SUTEP</t>
  </si>
  <si>
    <t>ALQUILER EQUIPAMIENTO ESPECIAL para LUCES (Grúas, etc.)</t>
  </si>
  <si>
    <t>CO-DIRECTOR</t>
    <phoneticPr fontId="8"/>
  </si>
  <si>
    <t>OTROS - COREOGRAFO / DIRECTOR MUSICAL / COACH</t>
    <phoneticPr fontId="8"/>
  </si>
  <si>
    <t>TOTAL RUBRO 12</t>
  </si>
  <si>
    <t>Posproducción</t>
  </si>
  <si>
    <t>Sábados</t>
  </si>
  <si>
    <t>MATERIAL VIRGEN</t>
  </si>
  <si>
    <t>Domingos</t>
  </si>
  <si>
    <t>TOTAL RUBRO 17</t>
  </si>
  <si>
    <t>TOTAL RUBRO 15</t>
  </si>
  <si>
    <t>COMBUSTIBLE PARA RODADOS</t>
  </si>
  <si>
    <t>CARGAS SOCIALES</t>
  </si>
  <si>
    <t>Meses</t>
  </si>
  <si>
    <t>ALQUILERES</t>
  </si>
  <si>
    <t>REALIZACIONES Y EFECTOS</t>
  </si>
  <si>
    <t>Días</t>
  </si>
  <si>
    <t>RODAJE</t>
  </si>
  <si>
    <t>SEGURIDAD</t>
  </si>
  <si>
    <t>PROCESOS DE SONIDO</t>
  </si>
  <si>
    <t xml:space="preserve">CADETERIA Y MENSAJERIA </t>
  </si>
  <si>
    <t>Aereos</t>
  </si>
  <si>
    <t>Cant.</t>
  </si>
  <si>
    <t>Micro</t>
  </si>
  <si>
    <t>DIRECTOR</t>
  </si>
  <si>
    <t>EQUIPOS DE SONIDO</t>
  </si>
  <si>
    <t>SUB TOTAL</t>
  </si>
  <si>
    <t>FUERZA MOTRIZ</t>
  </si>
  <si>
    <t>MOVILIDAD</t>
  </si>
  <si>
    <t xml:space="preserve"> </t>
  </si>
  <si>
    <t>DIRECCION</t>
  </si>
  <si>
    <t>PRODUCCION</t>
  </si>
  <si>
    <t>Importe</t>
  </si>
  <si>
    <t>Cantidad</t>
  </si>
  <si>
    <t>Sem.</t>
  </si>
  <si>
    <t>PRODUCTOR EJECUTIVO</t>
    <phoneticPr fontId="8"/>
  </si>
  <si>
    <t>ESCENOGRAFIA</t>
  </si>
  <si>
    <t>EFECTOS ESPECIALES</t>
  </si>
  <si>
    <t>TOTAL RUBRO 6</t>
  </si>
  <si>
    <t>TOTAL RUBRO 24</t>
  </si>
  <si>
    <t>TOTAL RUBRO 25</t>
  </si>
  <si>
    <t>PRODUCTOR DELEGADO</t>
  </si>
  <si>
    <t>COPISTERIA</t>
  </si>
  <si>
    <t>TOTAL RUBRO 9</t>
  </si>
  <si>
    <t>COMPRA MATERIALES</t>
    <phoneticPr fontId="8"/>
  </si>
  <si>
    <t>Domingos</t>
    <phoneticPr fontId="8"/>
  </si>
  <si>
    <t>Sábados</t>
    <phoneticPr fontId="8"/>
  </si>
  <si>
    <t>GRIPS Para Autos (lateral y Frontal)</t>
  </si>
  <si>
    <t>FLETES DE EQUIPOS Y UTILERA</t>
  </si>
  <si>
    <t>TOTAL</t>
  </si>
  <si>
    <t>TOTAL RUBRO 5</t>
  </si>
  <si>
    <t>POS</t>
  </si>
  <si>
    <t>IVA</t>
    <phoneticPr fontId="8"/>
  </si>
  <si>
    <t>IVA</t>
    <phoneticPr fontId="8"/>
  </si>
  <si>
    <t>SADEM</t>
  </si>
  <si>
    <t>ALQUILER TALLER VESTUARIO</t>
  </si>
  <si>
    <t>TOTAL RUBRO 10</t>
  </si>
  <si>
    <t>Mes</t>
  </si>
  <si>
    <t>LAVANDERIA, TINTORERIA, ARREGLOS, etc.</t>
  </si>
  <si>
    <t>OTROS - Desarrollo</t>
    <phoneticPr fontId="8"/>
  </si>
  <si>
    <t>DESGLOSE POR RUBROS</t>
  </si>
  <si>
    <t>Tickets aéreos</t>
    <phoneticPr fontId="8"/>
  </si>
  <si>
    <t>TOTAL RUBRO 22</t>
  </si>
  <si>
    <t>OTROS COSTOS</t>
  </si>
  <si>
    <t>SEGUROS</t>
  </si>
  <si>
    <t xml:space="preserve">ALQUILER DE OFICINAS </t>
    <phoneticPr fontId="8"/>
  </si>
  <si>
    <t>TOTAL RUBRO 11</t>
  </si>
  <si>
    <t>COMBUSTIBLE GENERADOR</t>
  </si>
  <si>
    <t>TELEFONIA MOVIL</t>
  </si>
  <si>
    <t>HONORARIOS LEGALES</t>
  </si>
  <si>
    <t>HONORARIOS PROFESIONAL CONTABLE</t>
  </si>
  <si>
    <t>TOTAL RUBRO 23</t>
  </si>
  <si>
    <t>Total</t>
  </si>
  <si>
    <t>Unidad</t>
  </si>
  <si>
    <t>LOCACIONES</t>
  </si>
  <si>
    <t>DIRECTOR DE PRODUCCION</t>
    <phoneticPr fontId="8"/>
  </si>
  <si>
    <t>TOTAL RUBRO 7</t>
  </si>
  <si>
    <t>Rodaje</t>
  </si>
  <si>
    <t>RUBROS</t>
  </si>
  <si>
    <t>TOTAL RUBRO 4</t>
  </si>
  <si>
    <t>TOTAL RUBRO 1</t>
  </si>
  <si>
    <t>TOTAL RUBRO 2</t>
  </si>
  <si>
    <t>TOTAL RUBRO 3</t>
  </si>
  <si>
    <t>AAA</t>
  </si>
  <si>
    <t>Preproducción</t>
  </si>
  <si>
    <t>ADMINISTRACION</t>
  </si>
  <si>
    <t>AUTOS / COMBIS / CAMIONES / MOTORHOME</t>
  </si>
  <si>
    <t>VESTUARIO</t>
  </si>
  <si>
    <t>PRE</t>
  </si>
  <si>
    <t>ACCESORIOS</t>
  </si>
  <si>
    <t>MANTENIMIENTO Y LIMPIEZA</t>
  </si>
  <si>
    <t>STORY BOARD</t>
  </si>
  <si>
    <t>OTROS</t>
  </si>
  <si>
    <t xml:space="preserve"> Unidad</t>
  </si>
  <si>
    <t>MAQUILLAJE</t>
  </si>
  <si>
    <t>TOTALES</t>
  </si>
  <si>
    <t>HsEx. (x sem)</t>
    <phoneticPr fontId="8"/>
  </si>
  <si>
    <t>TOTAL RUBRO 14</t>
  </si>
  <si>
    <t>TOTAL RUBRO 13</t>
  </si>
  <si>
    <t>Comidas x día</t>
  </si>
  <si>
    <t>MATERIAL DE ARCHIVO</t>
  </si>
  <si>
    <t>CONTRATACION EFECTOS ESPECIALES</t>
    <phoneticPr fontId="8"/>
  </si>
  <si>
    <t>TOTAL RUBRO 8</t>
  </si>
  <si>
    <t>CONTRATACIONES DE MATERIAL DE ARCHIVO</t>
  </si>
  <si>
    <t>Transporte vehículos de acción</t>
    <phoneticPr fontId="8"/>
  </si>
  <si>
    <t>Mes</t>
    <phoneticPr fontId="8"/>
  </si>
  <si>
    <t>OTROS MATERIALES</t>
    <phoneticPr fontId="8"/>
  </si>
  <si>
    <t>OTROS - MATERIALES</t>
    <phoneticPr fontId="8"/>
  </si>
  <si>
    <t>TAXIS - REMISES - TRENES - SUBTERRANEOS - Etc.</t>
    <phoneticPr fontId="8"/>
  </si>
  <si>
    <t>PASAJES AL EXTERIOR</t>
    <phoneticPr fontId="8"/>
  </si>
  <si>
    <t>Gastos transporte aeropuertos</t>
    <phoneticPr fontId="8"/>
  </si>
  <si>
    <t>Transporte equipos especiales (gruas, construcciones luces, etc)</t>
    <phoneticPr fontId="8"/>
  </si>
  <si>
    <t>SECRETARIA PRODUCCION</t>
  </si>
  <si>
    <t>COMPRA MATERIALES (Realizaciones)</t>
  </si>
  <si>
    <t>LUCES</t>
  </si>
  <si>
    <t>GRIP</t>
  </si>
  <si>
    <t>COMPRAS VARIAS - para CAMARA, LUCES, GRIP Y SONIDO</t>
  </si>
  <si>
    <t>COMPRAS INSUMOS VESTUARIO (Percheros, etiquetas, fundas,  vs.)</t>
  </si>
  <si>
    <t xml:space="preserve">Total </t>
  </si>
  <si>
    <t xml:space="preserve">Copias </t>
  </si>
  <si>
    <t xml:space="preserve">Mes </t>
  </si>
  <si>
    <t xml:space="preserve">Días </t>
  </si>
  <si>
    <t xml:space="preserve">Horas </t>
  </si>
  <si>
    <t xml:space="preserve">RESCRITURAS </t>
  </si>
  <si>
    <t xml:space="preserve">LIBRO ORIGINAL </t>
  </si>
  <si>
    <t>Hs. Extras Diurnas (3hs x Extra)</t>
  </si>
  <si>
    <t xml:space="preserve">PERSONAL TECNICO, ARTISTICO, CHOFERES, SEGURIDAD,  etc. </t>
  </si>
  <si>
    <t>Días rodaje</t>
  </si>
  <si>
    <t>OTROS (postizos, tatuajes, etc)</t>
  </si>
  <si>
    <t>REALIZACIONES / MODIFICACIONES DECORADOS, pinturas, etc.</t>
  </si>
  <si>
    <t>Total c/IVA</t>
  </si>
  <si>
    <t>Cot. Dólar</t>
  </si>
  <si>
    <r>
      <t>Prep</t>
    </r>
    <r>
      <rPr>
        <sz val="10"/>
        <rFont val="Arial"/>
      </rPr>
      <t>roducción</t>
    </r>
  </si>
  <si>
    <t>otros…..</t>
  </si>
  <si>
    <r>
      <t>MOTOR HOME VESTUARIO</t>
    </r>
    <r>
      <rPr>
        <sz val="10"/>
        <rFont val="Arial"/>
      </rPr>
      <t>/ Maquillaje</t>
    </r>
  </si>
  <si>
    <t>FLETES - Utilería, ambientación, Producción (Pre., Rodaje y Pos.)</t>
  </si>
  <si>
    <t>Pnal. (carga y descarga) 2 personas</t>
  </si>
  <si>
    <t>STEADYCAM con Operador y Asistente</t>
  </si>
  <si>
    <t>COMPOSITOR (Música fondo, leit-motiv, etc.) AUTORIA INTEGRAL (SADAIC)</t>
  </si>
  <si>
    <t>EQUIPO TECNICO</t>
  </si>
  <si>
    <t>CAMARA CAR y FLAT CAR - Con Operadores</t>
  </si>
  <si>
    <t>CONSUMOS, REPOSICIONES, ROTURAS</t>
  </si>
  <si>
    <t>EQUIPOS DE COMUNICACIÓN (Handies)</t>
  </si>
  <si>
    <t>SAC</t>
  </si>
  <si>
    <t>Remun. Bruta</t>
  </si>
  <si>
    <t xml:space="preserve">SERVICIO DE CATERING  (Desayuno y Almuerzo ) </t>
  </si>
  <si>
    <t>ADMINISTRACION. Secretaria</t>
  </si>
  <si>
    <t>DISCOS DUROS EXTERNOS</t>
  </si>
  <si>
    <t>dac2014</t>
  </si>
  <si>
    <t>Para Material Crudo y Back Up + Para entrega de Materiales</t>
  </si>
  <si>
    <t>Para Tránsito y edición offline</t>
  </si>
  <si>
    <t xml:space="preserve">Discos (1TB) </t>
  </si>
  <si>
    <t>DAC2015</t>
  </si>
  <si>
    <t xml:space="preserve">GRUA </t>
  </si>
  <si>
    <r>
      <t>CAMARA Y SONIDO</t>
    </r>
    <r>
      <rPr>
        <sz val="10"/>
        <rFont val="Arial"/>
      </rPr>
      <t xml:space="preserve"> (Furgon)</t>
    </r>
  </si>
  <si>
    <t>Generador Principal y Generador Pórtatil</t>
  </si>
  <si>
    <t>ALQUILER GENERADOR</t>
  </si>
  <si>
    <t>Mens</t>
  </si>
  <si>
    <t>Meses trabajados</t>
  </si>
  <si>
    <t>Hs Extras x Mes.</t>
  </si>
  <si>
    <t xml:space="preserve"> BASE: Lunes a Viernes 7 hs diarias + 3 extras diarias = 10 hs totales (Algunos técnicos tiene mayor cantidad de hs Ex x citacions diferenciadas)</t>
  </si>
  <si>
    <t xml:space="preserve">GUION </t>
  </si>
  <si>
    <t>COORDINADOR DE PRODUCCION (CAT 1)</t>
  </si>
  <si>
    <t>JEFE DE PRODUCCION (CAT 1)</t>
  </si>
  <si>
    <t>ASISTENTE DE PRODUCCION OFICINA (CAT 6)</t>
  </si>
  <si>
    <t xml:space="preserve"> Mens </t>
  </si>
  <si>
    <t xml:space="preserve"> Mes </t>
  </si>
  <si>
    <t>JEFE DE LOCACIONES  (CAT 2)</t>
  </si>
  <si>
    <t>ASISTENTE DE LOCACIONES (CAT 6)</t>
  </si>
  <si>
    <t>ASISTENTE DE DIRECCION (CAT 3)</t>
  </si>
  <si>
    <t xml:space="preserve"> CONTINUISTA (CAT 5)</t>
  </si>
  <si>
    <t>DIRECTOR DE CASTING (CAT 3)</t>
  </si>
  <si>
    <t>DIRECTOR DE FOTOGRAFIA (CAT 2)</t>
  </si>
  <si>
    <t>JEFE TECNICO (CAT 3)</t>
  </si>
  <si>
    <t>ASISTENTES DE CAMARA (2) (CAT 5)</t>
  </si>
  <si>
    <t>GRIP (CAT 5)</t>
  </si>
  <si>
    <t>DATA MANAGER (CAT 7)</t>
  </si>
  <si>
    <t>GAFFER (CAT 5)</t>
  </si>
  <si>
    <t>REFLECTORISTA (2) (CAT 7)</t>
  </si>
  <si>
    <t>OPERADOR DE GENERADOR (7)</t>
  </si>
  <si>
    <t>COORDINADOR/A DE ARTE (CAT 5)</t>
  </si>
  <si>
    <t>ASISTENTE DE ARTE (CAT 7)</t>
  </si>
  <si>
    <t>AMBIENTADOR/A (CAT 6)</t>
  </si>
  <si>
    <t>UTILERO (CAT 7)</t>
  </si>
  <si>
    <t>VESTUARISTA (CAT 3)</t>
  </si>
  <si>
    <t>COORDINADOR DE VESTUARIO (CAT 5)</t>
  </si>
  <si>
    <t>ASISTENTE DE VESTUARIO EN SET (CAT 7)</t>
  </si>
  <si>
    <t>JEFE MAQUILLAJE (CAT 6)</t>
  </si>
  <si>
    <t>PEINADOR (CAT 6)</t>
  </si>
  <si>
    <t>AYUDANTE DE MAQUILLAJE / PEINADO (CAT 7)</t>
  </si>
  <si>
    <t>DIRECTOR DE SONIDO (CAT 4)</t>
  </si>
  <si>
    <t>MICROFONISTA (2) (CAT 7)</t>
  </si>
  <si>
    <t xml:space="preserve">EDITOR (CAT 3) </t>
  </si>
  <si>
    <t>COORDINADOR DE POST-PRODUCCIÓN  (CAT 7)</t>
  </si>
  <si>
    <t>PRODUCTOR DE OFICINA (CAT 3)</t>
  </si>
  <si>
    <t>ASISTENTE DE PRODUCCION EXTERIORES  (2) (CAT 6)</t>
  </si>
  <si>
    <t>1 linea</t>
  </si>
  <si>
    <t>2 linea</t>
  </si>
  <si>
    <t>Minimo  AAA</t>
  </si>
  <si>
    <t>Jornada</t>
  </si>
  <si>
    <t>BOLOS MINIMOS (CANT. 4 X CAPITULO)</t>
  </si>
  <si>
    <t xml:space="preserve">SAT </t>
  </si>
  <si>
    <r>
      <t>VAC</t>
    </r>
    <r>
      <rPr>
        <sz val="9"/>
        <rFont val="Arial"/>
      </rPr>
      <t xml:space="preserve"> (Total Bruto / 30) x (Cant. Meses x 30) / 20</t>
    </r>
  </si>
  <si>
    <t>ADICIONALES SAT</t>
  </si>
  <si>
    <t>Antigüedad</t>
  </si>
  <si>
    <t>Comidas</t>
  </si>
  <si>
    <t>Merienda</t>
  </si>
  <si>
    <t>Exteriores</t>
  </si>
  <si>
    <t>Torre</t>
  </si>
  <si>
    <t>Guardería</t>
  </si>
  <si>
    <t>Ropa</t>
  </si>
  <si>
    <t>UTILERIA/AMBIENTACIÓN</t>
  </si>
  <si>
    <t>Global</t>
  </si>
  <si>
    <t>Capitulo</t>
  </si>
  <si>
    <t xml:space="preserve">REALIZACIONES </t>
  </si>
  <si>
    <t>APUNTADOR (CONTRATO MENSUAL)</t>
  </si>
  <si>
    <t>Semana</t>
  </si>
  <si>
    <t>COMPRAS</t>
  </si>
  <si>
    <t>REALIZACIONES</t>
  </si>
  <si>
    <t>ALQUILERES (Jornadas 10 hs)</t>
  </si>
  <si>
    <t>Bases (valor x Jornada 5 x semana)</t>
  </si>
  <si>
    <t>Movilidad Locador</t>
  </si>
  <si>
    <t>Nafta</t>
  </si>
  <si>
    <t>Tramite</t>
  </si>
  <si>
    <t>Varios de Locaciones, estacionamientos y peajes</t>
  </si>
  <si>
    <t>Remises Actores</t>
  </si>
  <si>
    <t>Van Departamento de Arte  (con Chofer)</t>
  </si>
  <si>
    <t>DERECHOS SADAIC</t>
  </si>
  <si>
    <t xml:space="preserve">Discos (3TB) </t>
  </si>
  <si>
    <t>POST DE SONIDO Y MEZCLA</t>
  </si>
  <si>
    <t>SEGURIDAD PARA FILMACION (1 personas x 700 x día)</t>
  </si>
  <si>
    <t>ESTACION DE BAJADA</t>
  </si>
  <si>
    <t xml:space="preserve"> MacBook Pro 15" RETINA - Intel Core i7 2.6 GHz - 16 GB RAM - HD 1 TB SSD -GEFORCE G750M 2048 MB- 1x
Puerto HDMI -2x USB3 – 2x Thunderbolt – 1x Ranura SD Card
-1x CalDigit TS2 - Dock Station - 2 puertos eSata - 2 puertos Thunderbolt - 2 puertos USB3
-1x Soft para Data Managment Shotput Pro
-1x Soft para Trasco DaVinci Resolve Lite </t>
  </si>
  <si>
    <t>Días Grabación</t>
  </si>
  <si>
    <t>CAMAROGRAFO (2)  (CAT 3)</t>
  </si>
  <si>
    <t>DIRECTOR DE ARTE (CAT 2)</t>
  </si>
  <si>
    <t>Gratificacion extraordinaria</t>
  </si>
  <si>
    <t>(2) Hs extras por fuera del acuerdo  7+3  para 10 técnicos.</t>
  </si>
  <si>
    <t>SUB TOTAL ADICIONALES</t>
  </si>
  <si>
    <t>SUB TOTAL RUBRO 4</t>
  </si>
  <si>
    <t xml:space="preserve">TELEFONIA FIJA BASICA </t>
  </si>
  <si>
    <t xml:space="preserve">PAPELERIA DE OFICINA </t>
  </si>
  <si>
    <t>SERVICIOS</t>
  </si>
  <si>
    <t>CAJA CHICA PRODUCCION</t>
  </si>
  <si>
    <t>MULTICOPIADORA</t>
  </si>
  <si>
    <t>VARIOS DE PRODUCCION</t>
  </si>
  <si>
    <t>CONTINGENCIAS</t>
  </si>
  <si>
    <t xml:space="preserve">OTROS </t>
  </si>
  <si>
    <t>SEGURO DE CAUCION</t>
  </si>
  <si>
    <t>ACCIDENTES PERSONALES (Equipo tecnico y artistico)</t>
  </si>
  <si>
    <t>IMPUESTOS</t>
  </si>
  <si>
    <t>IMPUESTOS BANCARIOS</t>
  </si>
  <si>
    <t>IIBB</t>
  </si>
  <si>
    <t>3% DEL COSTO TOTAL</t>
  </si>
  <si>
    <t>TOTAL RUBRO 26</t>
  </si>
  <si>
    <t>IVA (Está calculado en cada Rubro)</t>
  </si>
  <si>
    <t>Reposición Maquillaje</t>
  </si>
  <si>
    <t>Mensual</t>
  </si>
  <si>
    <t>Reposición de Pelo</t>
  </si>
  <si>
    <t>REPOSICIONES</t>
  </si>
  <si>
    <t>AYUDANTES (2 x día $500) 2 veces por semana</t>
  </si>
  <si>
    <t>AUTOS DE ACCION  ( 2 Autos por semana)</t>
  </si>
  <si>
    <t>AMBIENTACION</t>
  </si>
  <si>
    <t>ASISTENTE DE VESTUARIO DE CALLE (CAT 7)</t>
  </si>
  <si>
    <t>PROCESO DE POSTPRODUCCIÓN</t>
  </si>
  <si>
    <t>Transfer y Back up de Material-Alquiler de isla de edición workstation y complemen-</t>
  </si>
  <si>
    <t>CORRECCION DE COLOR</t>
  </si>
  <si>
    <t>DETALLE POST DE VIDEO</t>
  </si>
  <si>
    <t>Corrección de color en Scratch</t>
  </si>
  <si>
    <t>Capítulo</t>
  </si>
  <si>
    <t>taria para asistente-Paquete gráfico 2D y VFX</t>
  </si>
  <si>
    <t>Musicalización (No incluye música de autor ni derechos)</t>
  </si>
  <si>
    <t>Post y Mezcla de sonido Protools. Alquiler de isla de postproducción de sonido.</t>
  </si>
  <si>
    <t>EQUIPO DE POST PRODUCCION</t>
  </si>
  <si>
    <t>EQUIPO TECNICO DE EXTERIORES</t>
  </si>
  <si>
    <t>PRODUCCION DE OFICINA</t>
  </si>
  <si>
    <t>Limpieza de Locaciones (Valor diario 1 vez por semana)</t>
  </si>
  <si>
    <t>Semanal</t>
  </si>
  <si>
    <t>PRENSA</t>
  </si>
  <si>
    <t>Impresión de banners, evento de presentación, etc</t>
  </si>
  <si>
    <t xml:space="preserve"> 3 medidas, set de cuñas , Etc)</t>
  </si>
  <si>
    <t>Auto Vestuario (con Chofer)</t>
  </si>
  <si>
    <r>
      <t>VAN traslados</t>
    </r>
    <r>
      <rPr>
        <sz val="10"/>
        <rFont val="Arial"/>
      </rPr>
      <t xml:space="preserve"> equipo rodaje</t>
    </r>
    <r>
      <rPr>
        <sz val="10"/>
        <rFont val="Arial"/>
      </rPr>
      <t xml:space="preserve"> X 2 - 100 km. Libres</t>
    </r>
  </si>
  <si>
    <r>
      <t>MATERIAL ELECTRICO y GRIP</t>
    </r>
    <r>
      <rPr>
        <sz val="10"/>
        <rFont val="Arial"/>
      </rPr>
      <t xml:space="preserve"> (camión mediano)</t>
    </r>
  </si>
  <si>
    <t>Comidas Crew Avanzada 2 veces por semana.</t>
  </si>
  <si>
    <t>AYUDANTE DE EDICION/LOGGER (2 ) (CAT 7)</t>
  </si>
  <si>
    <t>Subtotal</t>
  </si>
  <si>
    <t>Total x 8 contratos</t>
  </si>
  <si>
    <t>ELENCO PRINCIPAL  (CONTRATO AAA  MENSUAL X 3 MESES)</t>
  </si>
  <si>
    <t>1 Invitado 1 línea</t>
  </si>
  <si>
    <t>1 Actor 2 línea</t>
  </si>
  <si>
    <t>ELENCO CO-PROTAGONISTA ( BOLO SEMANAL/  4 JORNADAS DE LABOR)</t>
  </si>
  <si>
    <t>Valor Bolo (6,25 hs)</t>
  </si>
  <si>
    <t xml:space="preserve">Valor Excedentes 180' </t>
  </si>
  <si>
    <t>Valor  Bolo</t>
  </si>
  <si>
    <t>4 Bolos x capitulo</t>
  </si>
  <si>
    <t>EXTRAS (SUTEP)  (9  EXTRAS COMUNES X CAPITULO)</t>
  </si>
  <si>
    <t>Valor extra común</t>
  </si>
  <si>
    <t>9 Extras  x capitulo</t>
  </si>
  <si>
    <t>ELENCO (Jornada de 10 hs) (INCLUYE 30% AUMENTO 2016)</t>
  </si>
  <si>
    <t>Bar (valor x 1/2 Jornada ) (7 Bares)</t>
  </si>
  <si>
    <t>Locación Principa 1 por capitulo (4 Jornadas x semana)</t>
  </si>
  <si>
    <t>Otras Locaciones 1 por capitulo ( 1Jornada x semana)</t>
  </si>
  <si>
    <r>
      <t xml:space="preserve">BASET - Habilitación Vía Pública </t>
    </r>
    <r>
      <rPr>
        <b/>
        <sz val="10"/>
        <rFont val="Arial"/>
      </rPr>
      <t xml:space="preserve">(semestral) </t>
    </r>
  </si>
  <si>
    <r>
      <t xml:space="preserve">BASET - Cortes de Calle "Resto de la Ciudad" Diurno </t>
    </r>
    <r>
      <rPr>
        <b/>
        <sz val="10"/>
        <rFont val="Arial"/>
      </rPr>
      <t>(1 x semana)</t>
    </r>
  </si>
  <si>
    <r>
      <t xml:space="preserve">BASET - Reducción Carril para despeje "Resto de la Ciudad" Diurno </t>
    </r>
    <r>
      <rPr>
        <b/>
        <sz val="10"/>
        <rFont val="Arial"/>
      </rPr>
      <t>(1 x día)</t>
    </r>
  </si>
  <si>
    <r>
      <t xml:space="preserve">BASET - Estacionamiento vehiculos Recorrido con Base </t>
    </r>
    <r>
      <rPr>
        <b/>
        <sz val="10"/>
        <rFont val="Arial"/>
      </rPr>
      <t>(2 en los 13 capitulos)</t>
    </r>
  </si>
  <si>
    <r>
      <t xml:space="preserve">BASET -  Bocacalle "Resto de la Ciudad" Diurno </t>
    </r>
    <r>
      <rPr>
        <b/>
        <sz val="10"/>
        <rFont val="Arial"/>
      </rPr>
      <t>(3 en los 13 capitulos)</t>
    </r>
  </si>
  <si>
    <r>
      <t xml:space="preserve">BASET- Vereda </t>
    </r>
    <r>
      <rPr>
        <b/>
        <sz val="10"/>
        <rFont val="Arial"/>
      </rPr>
      <t>(1 x capitulo)</t>
    </r>
  </si>
  <si>
    <r>
      <t xml:space="preserve">BASET - Estacionamiento vehiculos de filmación </t>
    </r>
    <r>
      <rPr>
        <b/>
        <sz val="10"/>
        <rFont val="Arial"/>
      </rPr>
      <t>(1 x dia)</t>
    </r>
  </si>
  <si>
    <t>PERMISOS DE RODAJE (12 hs) Los valores son cada 130 mts</t>
  </si>
  <si>
    <r>
      <t xml:space="preserve">BASET - Espacios Verdes, jornadas de rodaje </t>
    </r>
    <r>
      <rPr>
        <b/>
        <sz val="10"/>
        <rFont val="Arial"/>
      </rPr>
      <t>(5 plazas en toda la serie )</t>
    </r>
  </si>
  <si>
    <r>
      <t xml:space="preserve">Baset Gestion de tramite </t>
    </r>
    <r>
      <rPr>
        <b/>
        <sz val="10"/>
        <rFont val="Arial"/>
      </rPr>
      <t>(por tramite)</t>
    </r>
  </si>
  <si>
    <t>TOTAL RUBRO 16</t>
  </si>
  <si>
    <t>2 Cámaras (Sony F3) + Opticas (Compact Prime SET / 18-35-50-85-135 MM)</t>
  </si>
  <si>
    <t xml:space="preserve"> + Accesorios (Hand grip, Follow focus Trípodes, filtros varios, Monitores 24"</t>
  </si>
  <si>
    <t xml:space="preserve">Tv logic  con instrumentos para monitoreo, etc.) </t>
  </si>
  <si>
    <t>CAMARA (Equipamiento completo de cámara y monitoreo)</t>
  </si>
  <si>
    <t>Faroles: H.M.I. - Fresneles -  Artefactos de tubos flektor</t>
  </si>
  <si>
    <t>Accesorios (Trípodes, líneas, tableros, zapatillas,bolsas de arena, tres medidas ,</t>
  </si>
  <si>
    <t>pantallas banderas, marcos,portatelgos,barracudas, plaquetas, alargues, etc)</t>
  </si>
  <si>
    <t xml:space="preserve">Carro de travelling y Accesorios ( Vías rectas y curvas, bolsas, </t>
  </si>
  <si>
    <t xml:space="preserve">Grabador Multitrack Zaxcom Nomad 10/ </t>
  </si>
  <si>
    <t xml:space="preserve">1 sistema de monitoreo inhalambrico y auriculares, 4 Sist. Inalámbrico Lectrosonic, </t>
  </si>
  <si>
    <t>2 Micrófonos boom Sennheizer 416 Phantom  / 2 zeppelin Sennheiser</t>
  </si>
  <si>
    <t>2 Microfonos Sennheiser MKH 416P , Sistema IFB zaxcom.</t>
  </si>
  <si>
    <t xml:space="preserve"> Carro portaequipos, Manguera de mic y retorno, accesorios, etc. </t>
  </si>
  <si>
    <t>15 equipos  + Accesorios, cargadores, Baterías, caja de traslado. TOTAL</t>
  </si>
  <si>
    <t xml:space="preserve"> Varios: cámaras, luces, accesorios, grip, etc  </t>
  </si>
  <si>
    <t>TOTAL RUBRO 19</t>
  </si>
  <si>
    <t>SEGUROS EQUIPOS /LOCACIONES</t>
  </si>
  <si>
    <t>Equipamiento, escenografía, utilería, etc. Responsabilidad Civil</t>
  </si>
  <si>
    <t>Extra por Capitulo</t>
  </si>
  <si>
    <t>COMIDAS</t>
  </si>
  <si>
    <t>Cant. Capitulos</t>
  </si>
  <si>
    <t>DAC - Presupuesto Medio -  2016</t>
  </si>
  <si>
    <t>EQUIPOS DE CAMARAS/LUCES/SONIDO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</si>
</sst>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6">
    <numFmt numFmtId="164" formatCode="_ * #,##0.00_ ;_ * \-#,##0.00_ ;_ * &quot;-&quot;??_ ;_ @_ "/>
    <numFmt numFmtId="165" formatCode="00"/>
    <numFmt numFmtId="166" formatCode="#,##0.0"/>
    <numFmt numFmtId="167" formatCode="[$$-409]#,##0.00"/>
    <numFmt numFmtId="168" formatCode="&quot;$&quot;#,##0.00"/>
    <numFmt numFmtId="169" formatCode="#,##0_ ;\-#,##0\ "/>
  </numFmts>
  <fonts count="24" x14ac:knownFonts="1">
    <font>
      <sz val="10"/>
      <name val="Arial"/>
    </font>
    <font>
      <sz val="10"/>
      <name val="Arial"/>
    </font>
    <font>
      <b/>
      <sz val="11"/>
      <name val="Arial"/>
    </font>
    <font>
      <b/>
      <sz val="10"/>
      <name val="Arial"/>
    </font>
    <font>
      <sz val="10"/>
      <name val="Arial"/>
    </font>
    <font>
      <b/>
      <sz val="12"/>
      <name val="Arial"/>
    </font>
    <font>
      <sz val="11"/>
      <name val="Arial"/>
    </font>
    <font>
      <sz val="10"/>
      <name val="Arial"/>
    </font>
    <font>
      <sz val="8"/>
      <name val="Verdana"/>
    </font>
    <font>
      <sz val="9.5"/>
      <name val="Arial"/>
    </font>
    <font>
      <sz val="8"/>
      <name val="Arial"/>
    </font>
    <font>
      <sz val="10"/>
      <name val="Arial"/>
    </font>
    <font>
      <b/>
      <sz val="16"/>
      <name val="Arial"/>
    </font>
    <font>
      <b/>
      <i/>
      <sz val="10"/>
      <name val="Arial"/>
    </font>
    <font>
      <b/>
      <sz val="14"/>
      <name val="Arial"/>
    </font>
    <font>
      <sz val="12"/>
      <name val="Arial"/>
    </font>
    <font>
      <sz val="9"/>
      <name val="Arial"/>
    </font>
    <font>
      <b/>
      <sz val="18"/>
      <name val="Arial"/>
    </font>
    <font>
      <b/>
      <sz val="9"/>
      <name val="Arial"/>
    </font>
    <font>
      <b/>
      <sz val="10"/>
      <color rgb="FFFF0000"/>
      <name val="Arial"/>
    </font>
    <font>
      <sz val="10"/>
      <color rgb="FFFF0000"/>
      <name val="Arial"/>
    </font>
    <font>
      <i/>
      <sz val="9"/>
      <color theme="0" tint="-0.499984740745262"/>
      <name val="Arial"/>
    </font>
    <font>
      <b/>
      <sz val="6"/>
      <color theme="0" tint="-4.9989318521683403E-2"/>
      <name val="Arial"/>
    </font>
    <font>
      <b/>
      <sz val="10"/>
      <name val="Arial"/>
      <family val="2"/>
    </font>
  </fonts>
  <fills count="1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indexed="9"/>
        <bgColor indexed="8"/>
      </patternFill>
    </fill>
    <fill>
      <patternFill patternType="solid">
        <fgColor theme="0"/>
        <bgColor indexed="64"/>
      </patternFill>
    </fill>
    <fill>
      <patternFill patternType="solid">
        <fgColor theme="0" tint="-4.9989318521683403E-2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rgb="FFCCFFCC"/>
        <bgColor indexed="64"/>
      </patternFill>
    </fill>
    <fill>
      <patternFill patternType="solid">
        <fgColor rgb="FFF290B6"/>
        <bgColor indexed="64"/>
      </patternFill>
    </fill>
    <fill>
      <patternFill patternType="solid">
        <fgColor rgb="FFFFFFFF"/>
        <bgColor rgb="FF000000"/>
      </patternFill>
    </fill>
    <fill>
      <patternFill patternType="solid">
        <fgColor theme="7" tint="0.39997558519241921"/>
        <bgColor indexed="64"/>
      </patternFill>
    </fill>
    <fill>
      <patternFill patternType="solid">
        <fgColor theme="0"/>
        <bgColor rgb="FF000000"/>
      </patternFill>
    </fill>
  </fills>
  <borders count="56">
    <border>
      <left/>
      <right/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indexed="55"/>
      </top>
      <bottom style="thin">
        <color indexed="55"/>
      </bottom>
      <diagonal/>
    </border>
    <border>
      <left/>
      <right style="thin">
        <color auto="1"/>
      </right>
      <top/>
      <bottom/>
      <diagonal/>
    </border>
    <border>
      <left/>
      <right/>
      <top/>
      <bottom style="thin">
        <color indexed="55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indexed="55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thin">
        <color auto="1"/>
      </top>
      <bottom style="thin">
        <color auto="1"/>
      </bottom>
      <diagonal/>
    </border>
    <border>
      <left/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indexed="55"/>
      </top>
      <bottom style="thin">
        <color auto="1"/>
      </bottom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/>
      <right/>
      <top style="medium">
        <color auto="1"/>
      </top>
      <bottom/>
      <diagonal/>
    </border>
    <border>
      <left/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/>
      <bottom/>
      <diagonal/>
    </border>
    <border>
      <left/>
      <right style="medium">
        <color auto="1"/>
      </right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/>
      <right/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 style="thin">
        <color auto="1"/>
      </right>
      <top/>
      <bottom/>
      <diagonal/>
    </border>
    <border>
      <left style="medium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0000FF"/>
      </left>
      <right/>
      <top style="double">
        <color rgb="FF0000FF"/>
      </top>
      <bottom/>
      <diagonal/>
    </border>
    <border>
      <left/>
      <right/>
      <top style="double">
        <color rgb="FF0000FF"/>
      </top>
      <bottom/>
      <diagonal/>
    </border>
    <border>
      <left/>
      <right style="double">
        <color rgb="FF0000FF"/>
      </right>
      <top style="double">
        <color rgb="FF0000FF"/>
      </top>
      <bottom/>
      <diagonal/>
    </border>
    <border>
      <left style="double">
        <color rgb="FF0000FF"/>
      </left>
      <right/>
      <top/>
      <bottom/>
      <diagonal/>
    </border>
    <border>
      <left/>
      <right style="double">
        <color rgb="FF0000FF"/>
      </right>
      <top/>
      <bottom/>
      <diagonal/>
    </border>
    <border>
      <left style="double">
        <color rgb="FF0000FF"/>
      </left>
      <right/>
      <top/>
      <bottom style="double">
        <color rgb="FF0000FF"/>
      </bottom>
      <diagonal/>
    </border>
    <border>
      <left/>
      <right/>
      <top/>
      <bottom style="double">
        <color rgb="FF0000FF"/>
      </bottom>
      <diagonal/>
    </border>
    <border>
      <left/>
      <right style="double">
        <color rgb="FF0000FF"/>
      </right>
      <top/>
      <bottom style="double">
        <color rgb="FF0000FF"/>
      </bottom>
      <diagonal/>
    </border>
    <border>
      <left/>
      <right style="double">
        <color rgb="FF3366FF"/>
      </right>
      <top/>
      <bottom/>
      <diagonal/>
    </border>
  </borders>
  <cellStyleXfs count="2">
    <xf numFmtId="0" fontId="0" fillId="0" borderId="0"/>
    <xf numFmtId="164" fontId="1" fillId="0" borderId="0" applyFont="0" applyFill="0" applyBorder="0" applyAlignment="0" applyProtection="0"/>
  </cellStyleXfs>
  <cellXfs count="510">
    <xf numFmtId="0" fontId="0" fillId="0" borderId="0" xfId="0"/>
    <xf numFmtId="0" fontId="4" fillId="2" borderId="1" xfId="0" applyFont="1" applyFill="1" applyBorder="1" applyAlignment="1" applyProtection="1">
      <alignment horizontal="right" vertical="center"/>
      <protection locked="0"/>
    </xf>
    <xf numFmtId="0" fontId="4" fillId="0" borderId="2" xfId="0" applyFont="1" applyFill="1" applyBorder="1" applyAlignment="1" applyProtection="1">
      <alignment vertical="center"/>
      <protection locked="0"/>
    </xf>
    <xf numFmtId="4" fontId="4" fillId="0" borderId="2" xfId="1" applyNumberFormat="1" applyFont="1" applyFill="1" applyBorder="1" applyAlignment="1" applyProtection="1">
      <alignment horizontal="right" vertical="center"/>
      <protection locked="0"/>
    </xf>
    <xf numFmtId="164" fontId="4" fillId="2" borderId="0" xfId="1" applyFont="1" applyFill="1" applyBorder="1" applyAlignment="1" applyProtection="1">
      <alignment horizontal="right" vertical="center"/>
      <protection hidden="1"/>
    </xf>
    <xf numFmtId="0" fontId="4" fillId="2" borderId="0" xfId="0" applyFont="1" applyFill="1" applyBorder="1" applyAlignment="1" applyProtection="1">
      <alignment vertical="center"/>
      <protection hidden="1"/>
    </xf>
    <xf numFmtId="0" fontId="4" fillId="2" borderId="0" xfId="0" applyFont="1" applyFill="1" applyBorder="1" applyAlignment="1" applyProtection="1">
      <alignment horizontal="left" vertical="center"/>
      <protection locked="0"/>
    </xf>
    <xf numFmtId="164" fontId="4" fillId="2" borderId="0" xfId="1" applyFont="1" applyFill="1" applyBorder="1" applyAlignment="1" applyProtection="1">
      <alignment horizontal="right" vertical="center"/>
      <protection locked="0"/>
    </xf>
    <xf numFmtId="0" fontId="4" fillId="2" borderId="0" xfId="0" applyFont="1" applyFill="1" applyBorder="1" applyAlignment="1" applyProtection="1">
      <alignment vertical="center"/>
      <protection locked="0"/>
    </xf>
    <xf numFmtId="4" fontId="3" fillId="2" borderId="0" xfId="0" applyNumberFormat="1" applyFont="1" applyFill="1" applyBorder="1" applyAlignment="1" applyProtection="1">
      <alignment vertical="center"/>
      <protection locked="0"/>
    </xf>
    <xf numFmtId="1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2" xfId="0" applyFont="1" applyFill="1" applyBorder="1" applyAlignment="1" applyProtection="1">
      <alignment vertical="center"/>
      <protection locked="0"/>
    </xf>
    <xf numFmtId="0" fontId="11" fillId="2" borderId="2" xfId="0" applyFont="1" applyFill="1" applyBorder="1" applyAlignment="1" applyProtection="1">
      <alignment vertical="center"/>
      <protection locked="0"/>
    </xf>
    <xf numFmtId="3" fontId="10" fillId="2" borderId="0" xfId="0" applyNumberFormat="1" applyFont="1" applyFill="1" applyBorder="1" applyAlignment="1" applyProtection="1">
      <alignment horizontal="center" vertical="center"/>
      <protection locked="0"/>
    </xf>
    <xf numFmtId="0" fontId="11" fillId="2" borderId="1" xfId="0" applyFont="1" applyFill="1" applyBorder="1" applyAlignment="1" applyProtection="1">
      <alignment horizontal="right" vertical="center"/>
      <protection locked="0"/>
    </xf>
    <xf numFmtId="0" fontId="4" fillId="2" borderId="3" xfId="0" applyFont="1" applyFill="1" applyBorder="1" applyAlignment="1" applyProtection="1">
      <alignment horizontal="right" vertical="center"/>
      <protection locked="0"/>
    </xf>
    <xf numFmtId="10" fontId="4" fillId="2" borderId="2" xfId="1" applyNumberFormat="1" applyFont="1" applyFill="1" applyBorder="1" applyAlignment="1" applyProtection="1">
      <alignment horizontal="right" vertical="center"/>
      <protection locked="0"/>
    </xf>
    <xf numFmtId="0" fontId="4" fillId="2" borderId="4" xfId="0" applyFont="1" applyFill="1" applyBorder="1" applyAlignment="1" applyProtection="1">
      <alignment vertical="center"/>
      <protection locked="0"/>
    </xf>
    <xf numFmtId="164" fontId="4" fillId="2" borderId="2" xfId="1" applyFont="1" applyFill="1" applyBorder="1" applyAlignment="1" applyProtection="1">
      <alignment horizontal="right" vertical="center"/>
      <protection locked="0"/>
    </xf>
    <xf numFmtId="164" fontId="4" fillId="2" borderId="2" xfId="1" applyFont="1" applyFill="1" applyBorder="1" applyAlignment="1" applyProtection="1">
      <alignment horizontal="right" vertical="center"/>
      <protection hidden="1"/>
    </xf>
    <xf numFmtId="164" fontId="11" fillId="2" borderId="3" xfId="1" applyFont="1" applyFill="1" applyBorder="1" applyAlignment="1" applyProtection="1">
      <alignment horizontal="right" vertical="center"/>
      <protection locked="0"/>
    </xf>
    <xf numFmtId="0" fontId="4" fillId="0" borderId="0" xfId="0" applyFont="1" applyFill="1" applyBorder="1" applyAlignment="1" applyProtection="1">
      <alignment vertical="center"/>
      <protection locked="0"/>
    </xf>
    <xf numFmtId="164" fontId="4" fillId="0" borderId="0" xfId="1" applyFont="1" applyFill="1" applyBorder="1" applyAlignment="1" applyProtection="1">
      <alignment horizontal="right" vertical="center"/>
      <protection locked="0"/>
    </xf>
    <xf numFmtId="3" fontId="3" fillId="0" borderId="2" xfId="0" applyNumberFormat="1" applyFont="1" applyFill="1" applyBorder="1" applyAlignment="1" applyProtection="1">
      <alignment vertical="center"/>
      <protection locked="0"/>
    </xf>
    <xf numFmtId="3" fontId="4" fillId="0" borderId="2" xfId="1" applyNumberFormat="1" applyFont="1" applyFill="1" applyBorder="1" applyAlignment="1" applyProtection="1">
      <alignment horizontal="right" vertical="center"/>
      <protection locked="0"/>
    </xf>
    <xf numFmtId="3" fontId="3" fillId="2" borderId="2" xfId="0" applyNumberFormat="1" applyFont="1" applyFill="1" applyBorder="1" applyAlignment="1" applyProtection="1">
      <alignment vertical="center"/>
      <protection locked="0"/>
    </xf>
    <xf numFmtId="3" fontId="4" fillId="2" borderId="2" xfId="0" quotePrefix="1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2" xfId="0" applyNumberFormat="1" applyFont="1" applyFill="1" applyBorder="1" applyAlignment="1" applyProtection="1">
      <alignment vertical="center"/>
      <protection locked="0"/>
    </xf>
    <xf numFmtId="3" fontId="4" fillId="2" borderId="5" xfId="0" applyNumberFormat="1" applyFont="1" applyFill="1" applyBorder="1" applyAlignment="1" applyProtection="1">
      <alignment vertical="center"/>
      <protection locked="0"/>
    </xf>
    <xf numFmtId="3" fontId="4" fillId="0" borderId="2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 applyProtection="1">
      <alignment vertical="center"/>
      <protection locked="0"/>
    </xf>
    <xf numFmtId="3" fontId="4" fillId="2" borderId="1" xfId="0" applyNumberFormat="1" applyFont="1" applyFill="1" applyBorder="1" applyAlignment="1" applyProtection="1">
      <alignment vertical="center"/>
      <protection locked="0"/>
    </xf>
    <xf numFmtId="3" fontId="4" fillId="2" borderId="3" xfId="0" applyNumberFormat="1" applyFont="1" applyFill="1" applyBorder="1" applyAlignment="1" applyProtection="1">
      <alignment vertical="center"/>
      <protection locked="0"/>
    </xf>
    <xf numFmtId="3" fontId="4" fillId="2" borderId="0" xfId="0" applyNumberFormat="1" applyFont="1" applyFill="1" applyBorder="1" applyAlignment="1" applyProtection="1">
      <alignment vertical="center"/>
      <protection locked="0"/>
    </xf>
    <xf numFmtId="3" fontId="11" fillId="2" borderId="2" xfId="0" applyNumberFormat="1" applyFont="1" applyFill="1" applyBorder="1" applyAlignment="1" applyProtection="1">
      <alignment vertical="center"/>
      <protection locked="0"/>
    </xf>
    <xf numFmtId="3" fontId="11" fillId="0" borderId="2" xfId="0" applyNumberFormat="1" applyFont="1" applyFill="1" applyBorder="1" applyAlignment="1" applyProtection="1">
      <alignment vertical="center"/>
      <protection locked="0"/>
    </xf>
    <xf numFmtId="3" fontId="4" fillId="2" borderId="6" xfId="0" applyNumberFormat="1" applyFont="1" applyFill="1" applyBorder="1" applyAlignment="1" applyProtection="1">
      <alignment vertical="center"/>
      <protection locked="0"/>
    </xf>
    <xf numFmtId="3" fontId="4" fillId="2" borderId="2" xfId="1" applyNumberFormat="1" applyFont="1" applyFill="1" applyBorder="1" applyAlignment="1" applyProtection="1">
      <alignment horizontal="right" vertical="center"/>
      <protection locked="0"/>
    </xf>
    <xf numFmtId="3" fontId="11" fillId="2" borderId="2" xfId="1" applyNumberFormat="1" applyFont="1" applyFill="1" applyBorder="1" applyAlignment="1" applyProtection="1">
      <alignment horizontal="right" vertical="center"/>
      <protection locked="0"/>
    </xf>
    <xf numFmtId="0" fontId="11" fillId="2" borderId="3" xfId="0" applyFont="1" applyFill="1" applyBorder="1" applyAlignment="1" applyProtection="1">
      <alignment horizontal="right" vertical="center"/>
      <protection locked="0"/>
    </xf>
    <xf numFmtId="0" fontId="7" fillId="0" borderId="0" xfId="0" applyFont="1" applyAlignment="1">
      <alignment vertical="center"/>
    </xf>
    <xf numFmtId="0" fontId="4" fillId="2" borderId="0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3" fontId="4" fillId="0" borderId="0" xfId="0" applyNumberFormat="1" applyFont="1" applyBorder="1" applyAlignment="1">
      <alignment vertical="center"/>
    </xf>
    <xf numFmtId="0" fontId="4" fillId="0" borderId="0" xfId="0" applyFont="1" applyAlignment="1">
      <alignment vertical="center"/>
    </xf>
    <xf numFmtId="0" fontId="6" fillId="0" borderId="0" xfId="0" applyFont="1" applyAlignment="1">
      <alignment vertical="center"/>
    </xf>
    <xf numFmtId="3" fontId="4" fillId="2" borderId="7" xfId="0" applyNumberFormat="1" applyFont="1" applyFill="1" applyBorder="1" applyAlignment="1">
      <alignment vertical="center"/>
    </xf>
    <xf numFmtId="0" fontId="4" fillId="0" borderId="0" xfId="0" applyFont="1" applyFill="1" applyAlignment="1">
      <alignment vertical="center"/>
    </xf>
    <xf numFmtId="0" fontId="3" fillId="2" borderId="0" xfId="0" applyFont="1" applyFill="1" applyBorder="1" applyAlignment="1">
      <alignment vertical="center"/>
    </xf>
    <xf numFmtId="0" fontId="2" fillId="0" borderId="0" xfId="0" applyFont="1" applyAlignment="1">
      <alignment vertical="center"/>
    </xf>
    <xf numFmtId="0" fontId="4" fillId="2" borderId="0" xfId="0" applyFont="1" applyFill="1" applyAlignment="1">
      <alignment vertical="center"/>
    </xf>
    <xf numFmtId="0" fontId="3" fillId="2" borderId="8" xfId="0" applyFont="1" applyFill="1" applyBorder="1" applyAlignment="1">
      <alignment vertical="center"/>
    </xf>
    <xf numFmtId="3" fontId="4" fillId="2" borderId="0" xfId="0" applyNumberFormat="1" applyFont="1" applyFill="1" applyBorder="1" applyAlignment="1">
      <alignment vertical="center"/>
    </xf>
    <xf numFmtId="3" fontId="3" fillId="2" borderId="0" xfId="0" applyNumberFormat="1" applyFont="1" applyFill="1" applyBorder="1" applyAlignment="1">
      <alignment vertical="center"/>
    </xf>
    <xf numFmtId="0" fontId="4" fillId="2" borderId="3" xfId="0" applyFont="1" applyFill="1" applyBorder="1" applyAlignment="1">
      <alignment horizontal="right" vertical="center"/>
    </xf>
    <xf numFmtId="0" fontId="4" fillId="2" borderId="1" xfId="0" applyFont="1" applyFill="1" applyBorder="1" applyAlignment="1">
      <alignment horizontal="right" vertical="center"/>
    </xf>
    <xf numFmtId="0" fontId="3" fillId="0" borderId="0" xfId="0" applyFont="1" applyAlignment="1">
      <alignment horizontal="center" vertical="center"/>
    </xf>
    <xf numFmtId="0" fontId="3" fillId="0" borderId="0" xfId="0" applyFont="1" applyAlignment="1">
      <alignment vertical="center"/>
    </xf>
    <xf numFmtId="3" fontId="1" fillId="2" borderId="2" xfId="0" applyNumberFormat="1" applyFont="1" applyFill="1" applyBorder="1" applyAlignment="1" applyProtection="1">
      <alignment vertical="center"/>
      <protection locked="0"/>
    </xf>
    <xf numFmtId="166" fontId="11" fillId="2" borderId="2" xfId="0" applyNumberFormat="1" applyFont="1" applyFill="1" applyBorder="1" applyAlignment="1" applyProtection="1">
      <alignment vertical="center"/>
      <protection locked="0"/>
    </xf>
    <xf numFmtId="3" fontId="1" fillId="2" borderId="2" xfId="1" applyNumberFormat="1" applyFont="1" applyFill="1" applyBorder="1" applyAlignment="1" applyProtection="1">
      <alignment horizontal="right" vertical="center"/>
      <protection locked="0"/>
    </xf>
    <xf numFmtId="4" fontId="4" fillId="2" borderId="2" xfId="0" applyNumberFormat="1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/>
    </xf>
    <xf numFmtId="0" fontId="3" fillId="3" borderId="0" xfId="0" applyFont="1" applyFill="1" applyBorder="1" applyAlignment="1">
      <alignment horizontal="center" vertical="center"/>
    </xf>
    <xf numFmtId="3" fontId="10" fillId="3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9" xfId="0" applyFont="1" applyFill="1" applyBorder="1" applyAlignment="1">
      <alignment horizontal="center" vertical="center"/>
    </xf>
    <xf numFmtId="0" fontId="2" fillId="0" borderId="9" xfId="0" applyFont="1" applyBorder="1" applyAlignment="1">
      <alignment vertical="center"/>
    </xf>
    <xf numFmtId="164" fontId="4" fillId="2" borderId="9" xfId="1" applyFont="1" applyFill="1" applyBorder="1" applyAlignment="1" applyProtection="1">
      <alignment horizontal="right" vertical="center"/>
      <protection hidden="1"/>
    </xf>
    <xf numFmtId="0" fontId="4" fillId="2" borderId="9" xfId="0" applyFont="1" applyFill="1" applyBorder="1" applyAlignment="1" applyProtection="1">
      <alignment vertical="center"/>
      <protection hidden="1"/>
    </xf>
    <xf numFmtId="0" fontId="19" fillId="2" borderId="0" xfId="0" applyFont="1" applyFill="1" applyBorder="1" applyAlignment="1">
      <alignment horizontal="center" vertical="center"/>
    </xf>
    <xf numFmtId="3" fontId="20" fillId="2" borderId="6" xfId="0" applyNumberFormat="1" applyFont="1" applyFill="1" applyBorder="1" applyAlignment="1" applyProtection="1">
      <alignment vertical="center"/>
      <protection locked="0"/>
    </xf>
    <xf numFmtId="0" fontId="20" fillId="2" borderId="0" xfId="0" applyFont="1" applyFill="1" applyAlignment="1">
      <alignment vertical="center"/>
    </xf>
    <xf numFmtId="0" fontId="0" fillId="2" borderId="1" xfId="0" applyFont="1" applyFill="1" applyBorder="1" applyAlignment="1" applyProtection="1">
      <alignment horizontal="right" vertical="center"/>
      <protection locked="0"/>
    </xf>
    <xf numFmtId="3" fontId="4" fillId="2" borderId="10" xfId="0" applyNumberFormat="1" applyFont="1" applyFill="1" applyBorder="1" applyAlignment="1" applyProtection="1">
      <alignment vertical="center"/>
      <protection locked="0"/>
    </xf>
    <xf numFmtId="164" fontId="0" fillId="2" borderId="2" xfId="1" applyFont="1" applyFill="1" applyBorder="1" applyAlignment="1" applyProtection="1">
      <alignment horizontal="right" vertical="center"/>
      <protection locked="0"/>
    </xf>
    <xf numFmtId="3" fontId="4" fillId="2" borderId="11" xfId="0" applyNumberFormat="1" applyFont="1" applyFill="1" applyBorder="1" applyAlignment="1" applyProtection="1">
      <alignment vertical="center"/>
      <protection locked="0"/>
    </xf>
    <xf numFmtId="3" fontId="0" fillId="2" borderId="8" xfId="0" applyNumberFormat="1" applyFont="1" applyFill="1" applyBorder="1" applyAlignment="1">
      <alignment vertical="center"/>
    </xf>
    <xf numFmtId="3" fontId="0" fillId="2" borderId="5" xfId="0" applyNumberFormat="1" applyFont="1" applyFill="1" applyBorder="1" applyAlignment="1">
      <alignment vertical="center"/>
    </xf>
    <xf numFmtId="0" fontId="0" fillId="2" borderId="3" xfId="0" applyFont="1" applyFill="1" applyBorder="1" applyAlignment="1">
      <alignment horizontal="right" vertical="center"/>
    </xf>
    <xf numFmtId="3" fontId="4" fillId="2" borderId="12" xfId="0" applyNumberFormat="1" applyFont="1" applyFill="1" applyBorder="1" applyAlignment="1" applyProtection="1">
      <alignment vertical="center"/>
      <protection locked="0"/>
    </xf>
    <xf numFmtId="3" fontId="0" fillId="2" borderId="2" xfId="0" applyNumberFormat="1" applyFont="1" applyFill="1" applyBorder="1" applyAlignment="1" applyProtection="1">
      <alignment vertical="center"/>
      <protection locked="0"/>
    </xf>
    <xf numFmtId="4" fontId="0" fillId="2" borderId="0" xfId="0" applyNumberFormat="1" applyFont="1" applyFill="1" applyBorder="1" applyAlignment="1" applyProtection="1">
      <alignment horizontal="right" vertical="center"/>
      <protection locked="0"/>
    </xf>
    <xf numFmtId="3" fontId="0" fillId="2" borderId="0" xfId="0" applyNumberFormat="1" applyFont="1" applyFill="1" applyBorder="1" applyAlignment="1" applyProtection="1">
      <alignment vertical="center"/>
      <protection locked="0"/>
    </xf>
    <xf numFmtId="0" fontId="0" fillId="2" borderId="0" xfId="0" applyFont="1" applyFill="1" applyBorder="1" applyAlignment="1">
      <alignment vertical="center"/>
    </xf>
    <xf numFmtId="3" fontId="0" fillId="2" borderId="1" xfId="0" applyNumberFormat="1" applyFont="1" applyFill="1" applyBorder="1" applyAlignment="1" applyProtection="1">
      <alignment vertical="center"/>
      <protection locked="0"/>
    </xf>
    <xf numFmtId="3" fontId="3" fillId="2" borderId="1" xfId="0" applyNumberFormat="1" applyFont="1" applyFill="1" applyBorder="1" applyAlignment="1">
      <alignment vertical="center"/>
    </xf>
    <xf numFmtId="0" fontId="0" fillId="2" borderId="0" xfId="0" applyFont="1" applyFill="1" applyAlignment="1">
      <alignment vertical="center"/>
    </xf>
    <xf numFmtId="1" fontId="0" fillId="2" borderId="2" xfId="1" applyNumberFormat="1" applyFont="1" applyFill="1" applyBorder="1" applyAlignment="1" applyProtection="1">
      <alignment horizontal="right" vertical="center"/>
      <protection locked="0"/>
    </xf>
    <xf numFmtId="3" fontId="0" fillId="2" borderId="6" xfId="0" applyNumberFormat="1" applyFont="1" applyFill="1" applyBorder="1" applyAlignment="1" applyProtection="1">
      <alignment vertical="center"/>
      <protection locked="0"/>
    </xf>
    <xf numFmtId="3" fontId="0" fillId="2" borderId="6" xfId="0" applyNumberFormat="1" applyFont="1" applyFill="1" applyBorder="1" applyAlignment="1">
      <alignment vertical="center"/>
    </xf>
    <xf numFmtId="3" fontId="0" fillId="2" borderId="2" xfId="0" applyNumberFormat="1" applyFont="1" applyFill="1" applyBorder="1" applyAlignment="1">
      <alignment vertical="center"/>
    </xf>
    <xf numFmtId="0" fontId="0" fillId="2" borderId="13" xfId="0" applyFont="1" applyFill="1" applyBorder="1" applyAlignment="1" applyProtection="1">
      <alignment horizontal="right" vertical="center"/>
      <protection locked="0"/>
    </xf>
    <xf numFmtId="164" fontId="0" fillId="2" borderId="0" xfId="1" applyFont="1" applyFill="1" applyBorder="1" applyAlignment="1" applyProtection="1">
      <alignment horizontal="right" vertical="center"/>
      <protection locked="0"/>
    </xf>
    <xf numFmtId="0" fontId="0" fillId="2" borderId="3" xfId="0" applyFont="1" applyFill="1" applyBorder="1" applyAlignment="1" applyProtection="1">
      <alignment horizontal="right" vertical="center"/>
      <protection locked="0"/>
    </xf>
    <xf numFmtId="0" fontId="20" fillId="2" borderId="12" xfId="0" applyFont="1" applyFill="1" applyBorder="1" applyAlignment="1">
      <alignment vertical="center"/>
    </xf>
    <xf numFmtId="3" fontId="20" fillId="2" borderId="12" xfId="0" applyNumberFormat="1" applyFont="1" applyFill="1" applyBorder="1" applyAlignment="1">
      <alignment vertical="center"/>
    </xf>
    <xf numFmtId="3" fontId="20" fillId="2" borderId="4" xfId="0" applyNumberFormat="1" applyFont="1" applyFill="1" applyBorder="1" applyAlignment="1" applyProtection="1">
      <alignment vertical="center"/>
      <protection locked="0"/>
    </xf>
    <xf numFmtId="3" fontId="20" fillId="2" borderId="11" xfId="0" applyNumberFormat="1" applyFont="1" applyFill="1" applyBorder="1" applyAlignment="1" applyProtection="1">
      <alignment vertical="center"/>
      <protection locked="0"/>
    </xf>
    <xf numFmtId="3" fontId="20" fillId="2" borderId="8" xfId="0" applyNumberFormat="1" applyFont="1" applyFill="1" applyBorder="1" applyAlignment="1" applyProtection="1">
      <alignment vertical="center"/>
      <protection locked="0"/>
    </xf>
    <xf numFmtId="0" fontId="6" fillId="2" borderId="0" xfId="0" applyFont="1" applyFill="1" applyBorder="1" applyAlignment="1">
      <alignment horizontal="right" vertical="center"/>
    </xf>
    <xf numFmtId="3" fontId="4" fillId="2" borderId="3" xfId="0" applyNumberFormat="1" applyFont="1" applyFill="1" applyBorder="1" applyAlignment="1" applyProtection="1">
      <alignment horizontal="center" vertical="center"/>
      <protection locked="0"/>
    </xf>
    <xf numFmtId="164" fontId="0" fillId="2" borderId="2" xfId="1" applyFont="1" applyFill="1" applyBorder="1" applyAlignment="1" applyProtection="1">
      <alignment horizontal="right" vertical="center"/>
      <protection hidden="1"/>
    </xf>
    <xf numFmtId="3" fontId="4" fillId="2" borderId="8" xfId="0" applyNumberFormat="1" applyFont="1" applyFill="1" applyBorder="1" applyAlignment="1" applyProtection="1">
      <alignment vertical="center"/>
      <protection locked="0"/>
    </xf>
    <xf numFmtId="3" fontId="20" fillId="2" borderId="14" xfId="0" applyNumberFormat="1" applyFont="1" applyFill="1" applyBorder="1" applyAlignment="1" applyProtection="1">
      <alignment vertical="center"/>
      <protection locked="0"/>
    </xf>
    <xf numFmtId="3" fontId="20" fillId="2" borderId="12" xfId="0" applyNumberFormat="1" applyFont="1" applyFill="1" applyBorder="1" applyAlignment="1" applyProtection="1">
      <alignment vertical="center"/>
      <protection locked="0"/>
    </xf>
    <xf numFmtId="3" fontId="4" fillId="2" borderId="13" xfId="0" applyNumberFormat="1" applyFont="1" applyFill="1" applyBorder="1" applyAlignment="1" applyProtection="1">
      <alignment vertical="center"/>
      <protection locked="0"/>
    </xf>
    <xf numFmtId="3" fontId="4" fillId="2" borderId="15" xfId="0" applyNumberFormat="1" applyFont="1" applyFill="1" applyBorder="1" applyAlignment="1" applyProtection="1">
      <alignment vertical="center"/>
      <protection locked="0"/>
    </xf>
    <xf numFmtId="3" fontId="4" fillId="2" borderId="16" xfId="0" applyNumberFormat="1" applyFont="1" applyFill="1" applyBorder="1" applyAlignment="1" applyProtection="1">
      <alignment vertical="center"/>
      <protection locked="0"/>
    </xf>
    <xf numFmtId="3" fontId="0" fillId="2" borderId="8" xfId="0" applyNumberFormat="1" applyFont="1" applyFill="1" applyBorder="1" applyAlignment="1" applyProtection="1">
      <alignment vertical="center"/>
      <protection locked="0"/>
    </xf>
    <xf numFmtId="0" fontId="0" fillId="2" borderId="2" xfId="0" applyFont="1" applyFill="1" applyBorder="1" applyAlignment="1" applyProtection="1">
      <alignment vertical="center"/>
      <protection locked="0"/>
    </xf>
    <xf numFmtId="3" fontId="0" fillId="2" borderId="13" xfId="0" applyNumberFormat="1" applyFont="1" applyFill="1" applyBorder="1" applyAlignment="1" applyProtection="1">
      <alignment vertical="center"/>
      <protection locked="0"/>
    </xf>
    <xf numFmtId="3" fontId="0" fillId="2" borderId="5" xfId="0" applyNumberFormat="1" applyFont="1" applyFill="1" applyBorder="1" applyAlignment="1" applyProtection="1">
      <alignment vertical="center"/>
      <protection locked="0"/>
    </xf>
    <xf numFmtId="164" fontId="0" fillId="2" borderId="3" xfId="1" applyFont="1" applyFill="1" applyBorder="1" applyAlignment="1" applyProtection="1">
      <alignment horizontal="right" vertical="center"/>
      <protection locked="0"/>
    </xf>
    <xf numFmtId="0" fontId="0" fillId="2" borderId="1" xfId="0" applyFont="1" applyFill="1" applyBorder="1" applyAlignment="1">
      <alignment horizontal="right" vertical="center"/>
    </xf>
    <xf numFmtId="3" fontId="3" fillId="2" borderId="17" xfId="0" applyNumberFormat="1" applyFont="1" applyFill="1" applyBorder="1" applyAlignment="1" applyProtection="1">
      <alignment vertical="center"/>
      <protection locked="0"/>
    </xf>
    <xf numFmtId="3" fontId="3" fillId="2" borderId="8" xfId="0" applyNumberFormat="1" applyFont="1" applyFill="1" applyBorder="1" applyAlignment="1" applyProtection="1">
      <alignment vertical="center"/>
      <protection locked="0"/>
    </xf>
    <xf numFmtId="0" fontId="0" fillId="2" borderId="13" xfId="0" applyFont="1" applyFill="1" applyBorder="1" applyAlignment="1">
      <alignment horizontal="right" vertical="center"/>
    </xf>
    <xf numFmtId="0" fontId="0" fillId="0" borderId="2" xfId="0" applyBorder="1"/>
    <xf numFmtId="3" fontId="0" fillId="0" borderId="2" xfId="0" applyNumberFormat="1" applyBorder="1"/>
    <xf numFmtId="3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0" borderId="0" xfId="0" applyFont="1" applyFill="1" applyAlignment="1">
      <alignment vertical="center"/>
    </xf>
    <xf numFmtId="3" fontId="0" fillId="2" borderId="15" xfId="0" applyNumberFormat="1" applyFont="1" applyFill="1" applyBorder="1" applyAlignment="1" applyProtection="1">
      <alignment vertical="center"/>
      <protection locked="0"/>
    </xf>
    <xf numFmtId="3" fontId="0" fillId="2" borderId="16" xfId="0" applyNumberFormat="1" applyFont="1" applyFill="1" applyBorder="1" applyAlignment="1" applyProtection="1">
      <alignment vertical="center"/>
      <protection locked="0"/>
    </xf>
    <xf numFmtId="0" fontId="11" fillId="2" borderId="18" xfId="0" applyFont="1" applyFill="1" applyBorder="1" applyAlignment="1">
      <alignment horizontal="right" vertical="center"/>
    </xf>
    <xf numFmtId="0" fontId="11" fillId="2" borderId="1" xfId="0" applyFont="1" applyFill="1" applyBorder="1" applyAlignment="1">
      <alignment horizontal="right" vertical="center"/>
    </xf>
    <xf numFmtId="0" fontId="0" fillId="2" borderId="19" xfId="0" applyFont="1" applyFill="1" applyBorder="1" applyAlignment="1">
      <alignment horizontal="center" vertical="center"/>
    </xf>
    <xf numFmtId="0" fontId="0" fillId="2" borderId="2" xfId="0" applyFont="1" applyFill="1" applyBorder="1" applyAlignment="1">
      <alignment horizontal="center" vertical="center"/>
    </xf>
    <xf numFmtId="165" fontId="12" fillId="2" borderId="0" xfId="0" applyNumberFormat="1" applyFont="1" applyFill="1" applyBorder="1" applyAlignment="1" applyProtection="1">
      <alignment horizontal="center" vertical="center"/>
      <protection locked="0"/>
    </xf>
    <xf numFmtId="0" fontId="3" fillId="2" borderId="12" xfId="0" applyFont="1" applyFill="1" applyBorder="1" applyAlignment="1">
      <alignment horizontal="center" vertical="center"/>
    </xf>
    <xf numFmtId="0" fontId="2" fillId="0" borderId="12" xfId="0" applyFont="1" applyBorder="1" applyAlignment="1">
      <alignment vertical="center"/>
    </xf>
    <xf numFmtId="164" fontId="4" fillId="2" borderId="12" xfId="1" applyFont="1" applyFill="1" applyBorder="1" applyAlignment="1" applyProtection="1">
      <alignment horizontal="right" vertical="center"/>
      <protection hidden="1"/>
    </xf>
    <xf numFmtId="0" fontId="6" fillId="2" borderId="18" xfId="0" applyFont="1" applyFill="1" applyBorder="1" applyAlignment="1">
      <alignment horizontal="center" vertical="center"/>
    </xf>
    <xf numFmtId="0" fontId="6" fillId="2" borderId="1" xfId="0" applyFont="1" applyFill="1" applyBorder="1" applyAlignment="1">
      <alignment horizontal="center" vertical="center"/>
    </xf>
    <xf numFmtId="167" fontId="2" fillId="2" borderId="20" xfId="0" applyNumberFormat="1" applyFont="1" applyFill="1" applyBorder="1" applyAlignment="1">
      <alignment horizontal="center" vertical="center"/>
    </xf>
    <xf numFmtId="167" fontId="6" fillId="2" borderId="20" xfId="0" applyNumberFormat="1" applyFont="1" applyFill="1" applyBorder="1" applyAlignment="1">
      <alignment horizontal="center" vertical="center"/>
    </xf>
    <xf numFmtId="167" fontId="2" fillId="2" borderId="12" xfId="0" applyNumberFormat="1" applyFont="1" applyFill="1" applyBorder="1" applyAlignment="1">
      <alignment horizontal="center" vertical="center"/>
    </xf>
    <xf numFmtId="167" fontId="6" fillId="2" borderId="12" xfId="0" applyNumberFormat="1" applyFont="1" applyFill="1" applyBorder="1" applyAlignment="1">
      <alignment horizontal="center" vertical="center"/>
    </xf>
    <xf numFmtId="1" fontId="0" fillId="2" borderId="3" xfId="1" applyNumberFormat="1" applyFont="1" applyFill="1" applyBorder="1" applyAlignment="1" applyProtection="1">
      <alignment horizontal="right" vertical="center"/>
      <protection locked="0"/>
    </xf>
    <xf numFmtId="0" fontId="4" fillId="2" borderId="15" xfId="0" applyFont="1" applyFill="1" applyBorder="1" applyAlignment="1" applyProtection="1">
      <alignment vertical="center"/>
      <protection locked="0"/>
    </xf>
    <xf numFmtId="0" fontId="11" fillId="2" borderId="4" xfId="0" applyFont="1" applyFill="1" applyBorder="1" applyAlignment="1" applyProtection="1">
      <alignment vertical="center"/>
      <protection locked="0"/>
    </xf>
    <xf numFmtId="0" fontId="21" fillId="2" borderId="0" xfId="0" applyFont="1" applyFill="1" applyBorder="1" applyAlignment="1">
      <alignment vertical="center"/>
    </xf>
    <xf numFmtId="0" fontId="10" fillId="4" borderId="2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vertical="center"/>
    </xf>
    <xf numFmtId="0" fontId="2" fillId="2" borderId="0" xfId="0" applyFont="1" applyFill="1" applyBorder="1" applyAlignment="1">
      <alignment horizontal="right" vertical="center"/>
    </xf>
    <xf numFmtId="0" fontId="6" fillId="2" borderId="21" xfId="0" applyFont="1" applyFill="1" applyBorder="1" applyAlignment="1">
      <alignment horizontal="center" vertical="center"/>
    </xf>
    <xf numFmtId="3" fontId="20" fillId="2" borderId="1" xfId="0" applyNumberFormat="1" applyFont="1" applyFill="1" applyBorder="1" applyAlignment="1" applyProtection="1">
      <alignment vertical="center"/>
      <protection locked="0"/>
    </xf>
    <xf numFmtId="3" fontId="0" fillId="0" borderId="2" xfId="0" applyNumberFormat="1" applyFont="1" applyFill="1" applyBorder="1" applyAlignment="1" applyProtection="1">
      <alignment vertical="center"/>
      <protection locked="0"/>
    </xf>
    <xf numFmtId="0" fontId="0" fillId="2" borderId="8" xfId="0" applyFont="1" applyFill="1" applyBorder="1" applyAlignment="1">
      <alignment vertical="center"/>
    </xf>
    <xf numFmtId="0" fontId="0" fillId="2" borderId="18" xfId="0" applyFont="1" applyFill="1" applyBorder="1" applyAlignment="1" applyProtection="1">
      <alignment horizontal="right" vertical="center"/>
      <protection locked="0"/>
    </xf>
    <xf numFmtId="168" fontId="6" fillId="2" borderId="22" xfId="0" applyNumberFormat="1" applyFont="1" applyFill="1" applyBorder="1" applyAlignment="1">
      <alignment horizontal="center" vertical="center"/>
    </xf>
    <xf numFmtId="164" fontId="4" fillId="2" borderId="4" xfId="1" applyFont="1" applyFill="1" applyBorder="1" applyAlignment="1" applyProtection="1">
      <alignment horizontal="right" vertical="center"/>
      <protection locked="0"/>
    </xf>
    <xf numFmtId="0" fontId="0" fillId="2" borderId="14" xfId="0" applyFont="1" applyFill="1" applyBorder="1" applyAlignment="1">
      <alignment horizontal="right" vertical="center"/>
    </xf>
    <xf numFmtId="3" fontId="20" fillId="2" borderId="17" xfId="0" applyNumberFormat="1" applyFont="1" applyFill="1" applyBorder="1" applyAlignment="1">
      <alignment vertical="center"/>
    </xf>
    <xf numFmtId="3" fontId="4" fillId="2" borderId="17" xfId="0" applyNumberFormat="1" applyFont="1" applyFill="1" applyBorder="1" applyAlignment="1" applyProtection="1">
      <alignment vertical="center"/>
      <protection locked="0"/>
    </xf>
    <xf numFmtId="0" fontId="20" fillId="2" borderId="17" xfId="0" applyFont="1" applyFill="1" applyBorder="1" applyAlignment="1">
      <alignment vertical="center"/>
    </xf>
    <xf numFmtId="3" fontId="20" fillId="2" borderId="17" xfId="0" applyNumberFormat="1" applyFont="1" applyFill="1" applyBorder="1" applyAlignment="1" applyProtection="1">
      <alignment vertical="center"/>
      <protection locked="0"/>
    </xf>
    <xf numFmtId="1" fontId="0" fillId="2" borderId="2" xfId="0" applyNumberFormat="1" applyFont="1" applyFill="1" applyBorder="1" applyAlignment="1" applyProtection="1">
      <alignment horizontal="right" vertical="center"/>
      <protection locked="0"/>
    </xf>
    <xf numFmtId="4" fontId="0" fillId="2" borderId="10" xfId="0" applyNumberFormat="1" applyFont="1" applyFill="1" applyBorder="1" applyAlignment="1" applyProtection="1">
      <alignment vertical="center"/>
      <protection locked="0"/>
    </xf>
    <xf numFmtId="3" fontId="20" fillId="2" borderId="10" xfId="0" applyNumberFormat="1" applyFont="1" applyFill="1" applyBorder="1" applyAlignment="1">
      <alignment vertical="center"/>
    </xf>
    <xf numFmtId="3" fontId="0" fillId="2" borderId="1" xfId="0" applyNumberFormat="1" applyFont="1" applyFill="1" applyBorder="1" applyAlignment="1">
      <alignment vertical="center"/>
    </xf>
    <xf numFmtId="3" fontId="0" fillId="0" borderId="2" xfId="0" applyNumberFormat="1" applyFont="1" applyBorder="1" applyAlignment="1">
      <alignment vertical="center"/>
    </xf>
    <xf numFmtId="3" fontId="0" fillId="2" borderId="17" xfId="0" applyNumberFormat="1" applyFont="1" applyFill="1" applyBorder="1" applyAlignment="1">
      <alignment vertical="center"/>
    </xf>
    <xf numFmtId="4" fontId="0" fillId="2" borderId="2" xfId="0" applyNumberFormat="1" applyFont="1" applyFill="1" applyBorder="1" applyAlignment="1" applyProtection="1">
      <alignment vertical="center"/>
      <protection locked="0"/>
    </xf>
    <xf numFmtId="3" fontId="20" fillId="2" borderId="14" xfId="0" applyNumberFormat="1" applyFont="1" applyFill="1" applyBorder="1" applyAlignment="1">
      <alignment vertical="center"/>
    </xf>
    <xf numFmtId="3" fontId="11" fillId="2" borderId="3" xfId="0" applyNumberFormat="1" applyFont="1" applyFill="1" applyBorder="1" applyAlignment="1" applyProtection="1">
      <alignment vertical="center"/>
      <protection locked="0"/>
    </xf>
    <xf numFmtId="3" fontId="0" fillId="2" borderId="13" xfId="0" applyNumberFormat="1" applyFont="1" applyFill="1" applyBorder="1" applyAlignment="1">
      <alignment vertical="center"/>
    </xf>
    <xf numFmtId="3" fontId="0" fillId="2" borderId="15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>
      <alignment vertical="center"/>
    </xf>
    <xf numFmtId="3" fontId="20" fillId="2" borderId="4" xfId="0" applyNumberFormat="1" applyFont="1" applyFill="1" applyBorder="1" applyAlignment="1">
      <alignment vertical="center"/>
    </xf>
    <xf numFmtId="3" fontId="20" fillId="2" borderId="6" xfId="0" applyNumberFormat="1" applyFont="1" applyFill="1" applyBorder="1" applyAlignment="1">
      <alignment vertical="center"/>
    </xf>
    <xf numFmtId="3" fontId="0" fillId="2" borderId="4" xfId="0" applyNumberFormat="1" applyFont="1" applyFill="1" applyBorder="1" applyAlignment="1">
      <alignment vertical="center"/>
    </xf>
    <xf numFmtId="3" fontId="11" fillId="2" borderId="1" xfId="0" applyNumberFormat="1" applyFont="1" applyFill="1" applyBorder="1" applyAlignment="1">
      <alignment vertical="center"/>
    </xf>
    <xf numFmtId="164" fontId="4" fillId="2" borderId="14" xfId="1" applyFont="1" applyFill="1" applyBorder="1" applyAlignment="1" applyProtection="1">
      <alignment horizontal="right" vertical="center"/>
      <protection locked="0"/>
    </xf>
    <xf numFmtId="0" fontId="0" fillId="0" borderId="0" xfId="0" applyFont="1" applyAlignment="1">
      <alignment vertical="center"/>
    </xf>
    <xf numFmtId="167" fontId="5" fillId="2" borderId="0" xfId="0" applyNumberFormat="1" applyFont="1" applyFill="1" applyBorder="1" applyAlignment="1">
      <alignment horizontal="center" vertical="center"/>
    </xf>
    <xf numFmtId="167" fontId="15" fillId="2" borderId="0" xfId="0" applyNumberFormat="1" applyFont="1" applyFill="1" applyBorder="1" applyAlignment="1">
      <alignment horizontal="center" vertical="center"/>
    </xf>
    <xf numFmtId="3" fontId="4" fillId="2" borderId="9" xfId="0" applyNumberFormat="1" applyFont="1" applyFill="1" applyBorder="1" applyAlignment="1">
      <alignment vertical="center"/>
    </xf>
    <xf numFmtId="3" fontId="10" fillId="4" borderId="2" xfId="0" applyNumberFormat="1" applyFont="1" applyFill="1" applyBorder="1" applyAlignment="1">
      <alignment horizontal="center" vertical="center"/>
    </xf>
    <xf numFmtId="0" fontId="3" fillId="0" borderId="0" xfId="0" applyFont="1" applyBorder="1"/>
    <xf numFmtId="0" fontId="4" fillId="2" borderId="47" xfId="0" applyFont="1" applyFill="1" applyBorder="1" applyAlignment="1">
      <alignment vertical="center"/>
    </xf>
    <xf numFmtId="0" fontId="3" fillId="2" borderId="48" xfId="0" applyFont="1" applyFill="1" applyBorder="1" applyAlignment="1">
      <alignment horizontal="center" vertical="center"/>
    </xf>
    <xf numFmtId="0" fontId="4" fillId="2" borderId="48" xfId="0" applyFont="1" applyFill="1" applyBorder="1" applyAlignment="1" applyProtection="1">
      <alignment vertical="center"/>
      <protection locked="0"/>
    </xf>
    <xf numFmtId="164" fontId="4" fillId="2" borderId="48" xfId="1" applyFont="1" applyFill="1" applyBorder="1" applyAlignment="1" applyProtection="1">
      <alignment horizontal="right" vertical="center"/>
      <protection locked="0"/>
    </xf>
    <xf numFmtId="0" fontId="3" fillId="2" borderId="48" xfId="0" applyFont="1" applyFill="1" applyBorder="1" applyAlignment="1">
      <alignment vertical="center"/>
    </xf>
    <xf numFmtId="0" fontId="4" fillId="2" borderId="49" xfId="0" applyFont="1" applyFill="1" applyBorder="1" applyAlignment="1">
      <alignment vertical="center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0" fontId="5" fillId="2" borderId="50" xfId="0" applyFont="1" applyFill="1" applyBorder="1" applyAlignment="1">
      <alignment vertical="center"/>
    </xf>
    <xf numFmtId="0" fontId="5" fillId="2" borderId="51" xfId="0" applyFont="1" applyFill="1" applyBorder="1" applyAlignment="1">
      <alignment vertical="center"/>
    </xf>
    <xf numFmtId="3" fontId="6" fillId="2" borderId="50" xfId="0" applyNumberFormat="1" applyFont="1" applyFill="1" applyBorder="1" applyAlignment="1">
      <alignment vertical="center"/>
    </xf>
    <xf numFmtId="3" fontId="6" fillId="2" borderId="51" xfId="0" applyNumberFormat="1" applyFont="1" applyFill="1" applyBorder="1" applyAlignment="1">
      <alignment vertical="center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165" fontId="12" fillId="2" borderId="50" xfId="0" applyNumberFormat="1" applyFont="1" applyFill="1" applyBorder="1" applyAlignment="1" applyProtection="1">
      <alignment horizontal="center" vertical="center"/>
      <protection locked="0"/>
    </xf>
    <xf numFmtId="165" fontId="12" fillId="2" borderId="51" xfId="0" applyNumberFormat="1" applyFont="1" applyFill="1" applyBorder="1" applyAlignment="1" applyProtection="1">
      <alignment horizontal="center" vertical="center"/>
      <protection locked="0"/>
    </xf>
    <xf numFmtId="0" fontId="2" fillId="2" borderId="50" xfId="0" applyFont="1" applyFill="1" applyBorder="1" applyAlignment="1">
      <alignment vertical="center"/>
    </xf>
    <xf numFmtId="0" fontId="2" fillId="2" borderId="51" xfId="0" applyFont="1" applyFill="1" applyBorder="1" applyAlignment="1">
      <alignment vertical="center"/>
    </xf>
    <xf numFmtId="0" fontId="0" fillId="2" borderId="50" xfId="0" applyFont="1" applyFill="1" applyBorder="1" applyAlignment="1">
      <alignment vertical="center"/>
    </xf>
    <xf numFmtId="0" fontId="0" fillId="2" borderId="51" xfId="0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20" fillId="2" borderId="50" xfId="0" applyNumberFormat="1" applyFont="1" applyFill="1" applyBorder="1" applyAlignment="1">
      <alignment vertical="center"/>
    </xf>
    <xf numFmtId="3" fontId="20" fillId="2" borderId="51" xfId="0" applyNumberFormat="1" applyFont="1" applyFill="1" applyBorder="1" applyAlignment="1">
      <alignment vertical="center"/>
    </xf>
    <xf numFmtId="0" fontId="3" fillId="2" borderId="50" xfId="0" applyFont="1" applyFill="1" applyBorder="1" applyAlignment="1">
      <alignment vertical="center"/>
    </xf>
    <xf numFmtId="0" fontId="3" fillId="2" borderId="51" xfId="0" applyFont="1" applyFill="1" applyBorder="1" applyAlignment="1">
      <alignment vertical="center"/>
    </xf>
    <xf numFmtId="0" fontId="4" fillId="2" borderId="52" xfId="0" applyFont="1" applyFill="1" applyBorder="1" applyAlignment="1">
      <alignment vertical="center"/>
    </xf>
    <xf numFmtId="0" fontId="3" fillId="2" borderId="53" xfId="0" applyFont="1" applyFill="1" applyBorder="1" applyAlignment="1">
      <alignment horizontal="center" vertical="center"/>
    </xf>
    <xf numFmtId="0" fontId="4" fillId="2" borderId="53" xfId="0" applyFont="1" applyFill="1" applyBorder="1" applyAlignment="1" applyProtection="1">
      <alignment vertical="center"/>
      <protection locked="0"/>
    </xf>
    <xf numFmtId="164" fontId="4" fillId="2" borderId="53" xfId="1" applyFont="1" applyFill="1" applyBorder="1" applyAlignment="1" applyProtection="1">
      <alignment horizontal="right" vertical="center"/>
      <protection locked="0"/>
    </xf>
    <xf numFmtId="0" fontId="3" fillId="2" borderId="53" xfId="0" applyFont="1" applyFill="1" applyBorder="1" applyAlignment="1">
      <alignment vertical="center"/>
    </xf>
    <xf numFmtId="0" fontId="4" fillId="2" borderId="54" xfId="0" applyFont="1" applyFill="1" applyBorder="1" applyAlignment="1">
      <alignment vertical="center"/>
    </xf>
    <xf numFmtId="0" fontId="4" fillId="2" borderId="48" xfId="0" applyFont="1" applyFill="1" applyBorder="1" applyAlignment="1">
      <alignment vertical="center"/>
    </xf>
    <xf numFmtId="0" fontId="4" fillId="2" borderId="53" xfId="0" applyFont="1" applyFill="1" applyBorder="1" applyAlignment="1">
      <alignment vertical="center"/>
    </xf>
    <xf numFmtId="0" fontId="4" fillId="2" borderId="53" xfId="0" applyFont="1" applyFill="1" applyBorder="1" applyAlignment="1" applyProtection="1">
      <alignment horizontal="left" vertical="center"/>
      <protection hidden="1"/>
    </xf>
    <xf numFmtId="164" fontId="4" fillId="2" borderId="53" xfId="1" applyFont="1" applyFill="1" applyBorder="1" applyAlignment="1" applyProtection="1">
      <alignment horizontal="right" vertical="center"/>
      <protection hidden="1"/>
    </xf>
    <xf numFmtId="0" fontId="4" fillId="2" borderId="53" xfId="0" applyFont="1" applyFill="1" applyBorder="1" applyAlignment="1" applyProtection="1">
      <alignment vertical="center"/>
      <protection hidden="1"/>
    </xf>
    <xf numFmtId="4" fontId="6" fillId="0" borderId="53" xfId="0" applyNumberFormat="1" applyFont="1" applyFill="1" applyBorder="1" applyAlignment="1" applyProtection="1">
      <alignment vertical="center"/>
      <protection hidden="1"/>
    </xf>
    <xf numFmtId="4" fontId="2" fillId="2" borderId="53" xfId="0" applyNumberFormat="1" applyFont="1" applyFill="1" applyBorder="1" applyAlignment="1">
      <alignment vertical="center"/>
    </xf>
    <xf numFmtId="3" fontId="4" fillId="2" borderId="53" xfId="0" applyNumberFormat="1" applyFont="1" applyFill="1" applyBorder="1" applyAlignment="1">
      <alignment vertical="center"/>
    </xf>
    <xf numFmtId="3" fontId="3" fillId="2" borderId="53" xfId="0" applyNumberFormat="1" applyFont="1" applyFill="1" applyBorder="1" applyAlignment="1">
      <alignment vertical="center"/>
    </xf>
    <xf numFmtId="0" fontId="3" fillId="4" borderId="0" xfId="0" applyFont="1" applyFill="1" applyBorder="1" applyAlignment="1">
      <alignment horizontal="center" vertical="center"/>
    </xf>
    <xf numFmtId="0" fontId="0" fillId="4" borderId="0" xfId="0" applyFill="1"/>
    <xf numFmtId="164" fontId="0" fillId="2" borderId="13" xfId="1" applyFont="1" applyFill="1" applyBorder="1" applyAlignment="1" applyProtection="1">
      <alignment horizontal="right" vertical="center"/>
      <protection locked="0"/>
    </xf>
    <xf numFmtId="3" fontId="0" fillId="2" borderId="0" xfId="1" applyNumberFormat="1" applyFont="1" applyFill="1" applyBorder="1" applyAlignment="1" applyProtection="1">
      <alignment horizontal="right" vertical="center"/>
      <protection locked="0"/>
    </xf>
    <xf numFmtId="3" fontId="0" fillId="2" borderId="51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14" xfId="0" applyNumberFormat="1" applyFont="1" applyFill="1" applyBorder="1" applyAlignment="1" applyProtection="1">
      <alignment vertical="center"/>
      <protection locked="0"/>
    </xf>
    <xf numFmtId="3" fontId="0" fillId="2" borderId="12" xfId="0" applyNumberFormat="1" applyFont="1" applyFill="1" applyBorder="1" applyAlignment="1" applyProtection="1">
      <alignment vertical="center"/>
      <protection locked="0"/>
    </xf>
    <xf numFmtId="3" fontId="0" fillId="2" borderId="17" xfId="0" applyNumberFormat="1" applyFont="1" applyFill="1" applyBorder="1" applyAlignment="1" applyProtection="1">
      <alignment vertical="center"/>
      <protection locked="0"/>
    </xf>
    <xf numFmtId="0" fontId="9" fillId="2" borderId="13" xfId="0" applyFont="1" applyFill="1" applyBorder="1" applyAlignment="1">
      <alignment horizontal="left" vertical="center"/>
    </xf>
    <xf numFmtId="0" fontId="3" fillId="2" borderId="3" xfId="0" applyFont="1" applyFill="1" applyBorder="1" applyAlignment="1">
      <alignment horizontal="right" vertical="center"/>
    </xf>
    <xf numFmtId="10" fontId="4" fillId="2" borderId="2" xfId="0" applyNumberFormat="1" applyFont="1" applyFill="1" applyBorder="1" applyAlignment="1" applyProtection="1">
      <alignment vertical="center"/>
      <protection locked="0"/>
    </xf>
    <xf numFmtId="0" fontId="9" fillId="2" borderId="1" xfId="0" applyFont="1" applyFill="1" applyBorder="1" applyAlignment="1">
      <alignment horizontal="left"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0" fillId="4" borderId="3" xfId="0" applyFont="1" applyFill="1" applyBorder="1" applyAlignment="1">
      <alignment horizontal="right" vertical="center"/>
    </xf>
    <xf numFmtId="3" fontId="0" fillId="2" borderId="3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0" fillId="2" borderId="4" xfId="0" applyNumberFormat="1" applyFont="1" applyFill="1" applyBorder="1" applyAlignment="1" applyProtection="1">
      <alignment vertical="center"/>
      <protection locked="0"/>
    </xf>
    <xf numFmtId="3" fontId="0" fillId="2" borderId="11" xfId="0" applyNumberFormat="1" applyFont="1" applyFill="1" applyBorder="1" applyAlignment="1" applyProtection="1">
      <alignment vertical="center"/>
      <protection locked="0"/>
    </xf>
    <xf numFmtId="4" fontId="4" fillId="2" borderId="0" xfId="0" applyNumberFormat="1" applyFont="1" applyFill="1" applyBorder="1" applyAlignment="1" applyProtection="1">
      <alignment horizontal="right" vertical="center"/>
      <protection locked="0"/>
    </xf>
    <xf numFmtId="4" fontId="4" fillId="2" borderId="1" xfId="0" applyNumberFormat="1" applyFont="1" applyFill="1" applyBorder="1" applyAlignment="1" applyProtection="1">
      <alignment vertical="center"/>
      <protection locked="0"/>
    </xf>
    <xf numFmtId="0" fontId="4" fillId="2" borderId="1" xfId="0" applyFont="1" applyFill="1" applyBorder="1" applyAlignment="1">
      <alignment vertical="center"/>
    </xf>
    <xf numFmtId="4" fontId="4" fillId="2" borderId="2" xfId="0" applyNumberFormat="1" applyFont="1" applyFill="1" applyBorder="1" applyAlignment="1" applyProtection="1">
      <alignment horizontal="right" vertical="center"/>
      <protection locked="0"/>
    </xf>
    <xf numFmtId="3" fontId="4" fillId="2" borderId="1" xfId="0" applyNumberFormat="1" applyFont="1" applyFill="1" applyBorder="1" applyAlignment="1">
      <alignment vertical="center"/>
    </xf>
    <xf numFmtId="0" fontId="4" fillId="2" borderId="2" xfId="0" applyNumberFormat="1" applyFont="1" applyFill="1" applyBorder="1" applyAlignment="1" applyProtection="1">
      <alignment vertical="center"/>
      <protection locked="0"/>
    </xf>
    <xf numFmtId="2" fontId="4" fillId="2" borderId="2" xfId="1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horizontal="right" vertical="center"/>
      <protection locked="0"/>
    </xf>
    <xf numFmtId="3" fontId="4" fillId="4" borderId="2" xfId="0" applyNumberFormat="1" applyFont="1" applyFill="1" applyBorder="1" applyAlignment="1" applyProtection="1">
      <alignment vertical="center"/>
      <protection locked="0"/>
    </xf>
    <xf numFmtId="3" fontId="4" fillId="2" borderId="3" xfId="0" applyNumberFormat="1" applyFont="1" applyFill="1" applyBorder="1" applyAlignment="1">
      <alignment vertical="center"/>
    </xf>
    <xf numFmtId="3" fontId="4" fillId="2" borderId="2" xfId="0" applyNumberFormat="1" applyFont="1" applyFill="1" applyBorder="1" applyAlignment="1">
      <alignment vertical="center"/>
    </xf>
    <xf numFmtId="10" fontId="4" fillId="2" borderId="0" xfId="0" applyNumberFormat="1" applyFont="1" applyFill="1" applyBorder="1" applyAlignment="1" applyProtection="1">
      <alignment vertical="center"/>
      <protection locked="0"/>
    </xf>
    <xf numFmtId="3" fontId="4" fillId="2" borderId="8" xfId="0" applyNumberFormat="1" applyFont="1" applyFill="1" applyBorder="1" applyAlignment="1">
      <alignment vertical="center"/>
    </xf>
    <xf numFmtId="0" fontId="4" fillId="2" borderId="8" xfId="0" applyFont="1" applyFill="1" applyBorder="1" applyAlignment="1">
      <alignment vertical="center"/>
    </xf>
    <xf numFmtId="1" fontId="4" fillId="2" borderId="0" xfId="1" applyNumberFormat="1" applyFont="1" applyFill="1" applyBorder="1" applyAlignment="1" applyProtection="1">
      <alignment horizontal="right" vertical="center"/>
      <protection locked="0"/>
    </xf>
    <xf numFmtId="3" fontId="4" fillId="2" borderId="14" xfId="0" applyNumberFormat="1" applyFont="1" applyFill="1" applyBorder="1" applyAlignment="1" applyProtection="1">
      <alignment vertical="center"/>
      <protection locked="0"/>
    </xf>
    <xf numFmtId="0" fontId="3" fillId="2" borderId="15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horizontal="left" vertical="center"/>
      <protection locked="0"/>
    </xf>
    <xf numFmtId="0" fontId="3" fillId="2" borderId="2" xfId="0" applyFont="1" applyFill="1" applyBorder="1" applyAlignment="1" applyProtection="1">
      <alignment horizontal="left" vertical="center"/>
      <protection locked="0"/>
    </xf>
    <xf numFmtId="0" fontId="3" fillId="2" borderId="10" xfId="0" applyFont="1" applyFill="1" applyBorder="1" applyAlignment="1" applyProtection="1">
      <alignment horizontal="left" vertical="center"/>
      <protection locked="0"/>
    </xf>
    <xf numFmtId="0" fontId="3" fillId="2" borderId="14" xfId="0" applyFont="1" applyFill="1" applyBorder="1" applyAlignment="1" applyProtection="1">
      <alignment horizontal="left" vertical="center"/>
      <protection locked="0"/>
    </xf>
    <xf numFmtId="0" fontId="3" fillId="0" borderId="4" xfId="0" applyFont="1" applyFill="1" applyBorder="1" applyAlignment="1" applyProtection="1">
      <alignment horizontal="left" vertical="center"/>
      <protection locked="0"/>
    </xf>
    <xf numFmtId="0" fontId="3" fillId="2" borderId="4" xfId="0" applyFont="1" applyFill="1" applyBorder="1" applyAlignment="1" applyProtection="1">
      <alignment vertical="center"/>
      <protection locked="0"/>
    </xf>
    <xf numFmtId="0" fontId="3" fillId="4" borderId="10" xfId="0" applyFont="1" applyFill="1" applyBorder="1" applyAlignment="1" applyProtection="1">
      <alignment horizontal="left" vertical="center"/>
      <protection locked="0"/>
    </xf>
    <xf numFmtId="0" fontId="3" fillId="2" borderId="1" xfId="0" applyFont="1" applyFill="1" applyBorder="1" applyAlignment="1" applyProtection="1">
      <alignment horizontal="left" vertical="center"/>
      <protection locked="0"/>
    </xf>
    <xf numFmtId="0" fontId="3" fillId="2" borderId="14" xfId="0" applyFont="1" applyFill="1" applyBorder="1" applyAlignment="1">
      <alignment horizontal="left" vertical="center"/>
    </xf>
    <xf numFmtId="3" fontId="20" fillId="2" borderId="50" xfId="0" applyNumberFormat="1" applyFont="1" applyFill="1" applyBorder="1" applyAlignment="1">
      <alignment vertical="center"/>
    </xf>
    <xf numFmtId="3" fontId="20" fillId="2" borderId="51" xfId="0" applyNumberFormat="1" applyFont="1" applyFill="1" applyBorder="1" applyAlignment="1">
      <alignment vertical="center"/>
    </xf>
    <xf numFmtId="0" fontId="22" fillId="2" borderId="0" xfId="0" applyFont="1" applyFill="1" applyBorder="1" applyAlignment="1">
      <alignment horizontal="center" vertical="center"/>
    </xf>
    <xf numFmtId="0" fontId="4" fillId="5" borderId="0" xfId="0" applyFont="1" applyFill="1" applyAlignment="1">
      <alignment vertical="center"/>
    </xf>
    <xf numFmtId="0" fontId="7" fillId="5" borderId="0" xfId="0" applyFont="1" applyFill="1" applyAlignment="1">
      <alignment vertical="center"/>
    </xf>
    <xf numFmtId="0" fontId="5" fillId="5" borderId="0" xfId="0" applyFont="1" applyFill="1" applyAlignment="1">
      <alignment vertical="center"/>
    </xf>
    <xf numFmtId="0" fontId="6" fillId="5" borderId="0" xfId="0" applyFont="1" applyFill="1" applyAlignment="1">
      <alignment vertical="center"/>
    </xf>
    <xf numFmtId="0" fontId="2" fillId="5" borderId="0" xfId="0" applyFont="1" applyFill="1" applyAlignment="1">
      <alignment vertical="center"/>
    </xf>
    <xf numFmtId="0" fontId="4" fillId="5" borderId="0" xfId="0" applyFont="1" applyFill="1" applyBorder="1" applyAlignment="1">
      <alignment vertical="center"/>
    </xf>
    <xf numFmtId="0" fontId="0" fillId="5" borderId="0" xfId="0" applyFont="1" applyFill="1" applyAlignment="1">
      <alignment vertical="center"/>
    </xf>
    <xf numFmtId="0" fontId="20" fillId="5" borderId="0" xfId="0" applyFont="1" applyFill="1" applyAlignment="1">
      <alignment vertical="center"/>
    </xf>
    <xf numFmtId="0" fontId="3" fillId="5" borderId="0" xfId="0" applyFont="1" applyFill="1" applyAlignment="1">
      <alignment horizontal="center" vertical="center"/>
    </xf>
    <xf numFmtId="0" fontId="4" fillId="5" borderId="0" xfId="0" applyFont="1" applyFill="1" applyBorder="1" applyAlignment="1" applyProtection="1">
      <alignment vertical="center"/>
      <protection locked="0"/>
    </xf>
    <xf numFmtId="164" fontId="4" fillId="5" borderId="0" xfId="1" applyFont="1" applyFill="1" applyBorder="1" applyAlignment="1" applyProtection="1">
      <alignment horizontal="right" vertical="center"/>
      <protection locked="0"/>
    </xf>
    <xf numFmtId="0" fontId="3" fillId="5" borderId="0" xfId="0" applyFont="1" applyFill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0" fontId="2" fillId="4" borderId="0" xfId="0" applyFont="1" applyFill="1" applyBorder="1" applyAlignment="1" applyProtection="1">
      <alignment horizontal="center" vertical="center"/>
      <protection locked="0"/>
    </xf>
    <xf numFmtId="3" fontId="2" fillId="4" borderId="0" xfId="0" applyNumberFormat="1" applyFont="1" applyFill="1" applyBorder="1" applyAlignment="1" applyProtection="1">
      <alignment horizontal="right" vertical="center"/>
      <protection hidden="1"/>
    </xf>
    <xf numFmtId="3" fontId="2" fillId="4" borderId="51" xfId="0" applyNumberFormat="1" applyFont="1" applyFill="1" applyBorder="1" applyAlignment="1">
      <alignment vertical="center"/>
    </xf>
    <xf numFmtId="3" fontId="2" fillId="4" borderId="0" xfId="0" applyNumberFormat="1" applyFont="1" applyFill="1" applyBorder="1" applyAlignment="1" applyProtection="1">
      <alignment vertical="center"/>
      <protection hidden="1"/>
    </xf>
    <xf numFmtId="0" fontId="13" fillId="2" borderId="10" xfId="0" applyFont="1" applyFill="1" applyBorder="1" applyAlignment="1" applyProtection="1">
      <alignment horizontal="left" vertical="center"/>
      <protection locked="0"/>
    </xf>
    <xf numFmtId="164" fontId="0" fillId="2" borderId="15" xfId="1" applyFont="1" applyFill="1" applyBorder="1" applyAlignment="1" applyProtection="1">
      <alignment horizontal="right" vertical="center"/>
      <protection locked="0"/>
    </xf>
    <xf numFmtId="3" fontId="4" fillId="0" borderId="0" xfId="0" applyNumberFormat="1" applyFont="1" applyAlignment="1">
      <alignment vertical="center"/>
    </xf>
    <xf numFmtId="0" fontId="9" fillId="6" borderId="2" xfId="0" applyFont="1" applyFill="1" applyBorder="1" applyAlignment="1">
      <alignment horizontal="right" vertical="center"/>
    </xf>
    <xf numFmtId="3" fontId="11" fillId="6" borderId="11" xfId="0" applyNumberFormat="1" applyFont="1" applyFill="1" applyBorder="1" applyAlignment="1">
      <alignment vertical="center"/>
    </xf>
    <xf numFmtId="3" fontId="0" fillId="6" borderId="2" xfId="0" applyNumberFormat="1" applyFont="1" applyFill="1" applyBorder="1" applyAlignment="1">
      <alignment horizontal="center" vertical="center"/>
    </xf>
    <xf numFmtId="3" fontId="4" fillId="2" borderId="2" xfId="0" applyNumberFormat="1" applyFont="1" applyFill="1" applyBorder="1" applyAlignment="1" applyProtection="1">
      <alignment horizontal="center" vertical="center"/>
      <protection locked="0"/>
    </xf>
    <xf numFmtId="0" fontId="2" fillId="7" borderId="2" xfId="0" applyFont="1" applyFill="1" applyBorder="1" applyAlignment="1">
      <alignment horizontal="center" vertical="center"/>
    </xf>
    <xf numFmtId="0" fontId="2" fillId="7" borderId="4" xfId="0" applyFont="1" applyFill="1" applyBorder="1" applyAlignment="1">
      <alignment vertical="center"/>
    </xf>
    <xf numFmtId="164" fontId="6" fillId="7" borderId="11" xfId="1" applyFont="1" applyFill="1" applyBorder="1" applyAlignment="1" applyProtection="1">
      <alignment horizontal="right" vertical="center"/>
      <protection hidden="1"/>
    </xf>
    <xf numFmtId="0" fontId="6" fillId="7" borderId="11" xfId="0" applyFont="1" applyFill="1" applyBorder="1" applyAlignment="1" applyProtection="1">
      <alignment vertical="center"/>
      <protection hidden="1"/>
    </xf>
    <xf numFmtId="165" fontId="14" fillId="7" borderId="23" xfId="0" applyNumberFormat="1" applyFont="1" applyFill="1" applyBorder="1" applyAlignment="1" applyProtection="1">
      <alignment horizontal="center" vertical="center"/>
      <protection locked="0"/>
    </xf>
    <xf numFmtId="0" fontId="2" fillId="7" borderId="2" xfId="0" applyFont="1" applyFill="1" applyBorder="1" applyAlignment="1" applyProtection="1">
      <alignment horizontal="left" vertical="center"/>
      <protection locked="0"/>
    </xf>
    <xf numFmtId="4" fontId="5" fillId="5" borderId="24" xfId="0" applyNumberFormat="1" applyFont="1" applyFill="1" applyBorder="1" applyAlignment="1" applyProtection="1">
      <alignment horizontal="center" vertical="center"/>
      <protection hidden="1"/>
    </xf>
    <xf numFmtId="4" fontId="5" fillId="5" borderId="25" xfId="0" applyNumberFormat="1" applyFont="1" applyFill="1" applyBorder="1" applyAlignment="1" applyProtection="1">
      <alignment horizontal="center" vertical="center"/>
      <protection hidden="1"/>
    </xf>
    <xf numFmtId="3" fontId="6" fillId="5" borderId="6" xfId="0" applyNumberFormat="1" applyFont="1" applyFill="1" applyBorder="1" applyAlignment="1" applyProtection="1">
      <alignment horizontal="right" vertical="center"/>
      <protection hidden="1"/>
    </xf>
    <xf numFmtId="3" fontId="6" fillId="5" borderId="22" xfId="0" applyNumberFormat="1" applyFont="1" applyFill="1" applyBorder="1" applyAlignment="1" applyProtection="1">
      <alignment horizontal="right" vertical="center"/>
      <protection hidden="1"/>
    </xf>
    <xf numFmtId="3" fontId="5" fillId="5" borderId="26" xfId="0" applyNumberFormat="1" applyFont="1" applyFill="1" applyBorder="1" applyAlignment="1" applyProtection="1">
      <alignment horizontal="center" vertical="center"/>
      <protection hidden="1"/>
    </xf>
    <xf numFmtId="3" fontId="5" fillId="5" borderId="27" xfId="0" applyNumberFormat="1" applyFont="1" applyFill="1" applyBorder="1" applyAlignment="1" applyProtection="1">
      <alignment horizontal="center" vertical="center"/>
      <protection hidden="1"/>
    </xf>
    <xf numFmtId="3" fontId="6" fillId="5" borderId="28" xfId="0" applyNumberFormat="1" applyFont="1" applyFill="1" applyBorder="1" applyAlignment="1" applyProtection="1">
      <alignment vertical="center"/>
      <protection hidden="1"/>
    </xf>
    <xf numFmtId="3" fontId="6" fillId="5" borderId="2" xfId="0" applyNumberFormat="1" applyFont="1" applyFill="1" applyBorder="1" applyAlignment="1" applyProtection="1">
      <alignment vertical="center"/>
      <protection hidden="1"/>
    </xf>
    <xf numFmtId="3" fontId="6" fillId="5" borderId="29" xfId="0" applyNumberFormat="1" applyFont="1" applyFill="1" applyBorder="1" applyAlignment="1" applyProtection="1">
      <alignment vertical="center"/>
      <protection hidden="1"/>
    </xf>
    <xf numFmtId="4" fontId="5" fillId="8" borderId="23" xfId="0" applyNumberFormat="1" applyFont="1" applyFill="1" applyBorder="1" applyAlignment="1" applyProtection="1">
      <alignment horizontal="center" vertical="center"/>
      <protection hidden="1"/>
    </xf>
    <xf numFmtId="3" fontId="2" fillId="8" borderId="30" xfId="0" applyNumberFormat="1" applyFont="1" applyFill="1" applyBorder="1" applyAlignment="1" applyProtection="1">
      <alignment horizontal="right" vertical="center"/>
      <protection hidden="1"/>
    </xf>
    <xf numFmtId="164" fontId="14" fillId="5" borderId="31" xfId="1" applyFont="1" applyFill="1" applyBorder="1" applyAlignment="1" applyProtection="1">
      <alignment horizontal="center" vertical="center"/>
      <protection locked="0"/>
    </xf>
    <xf numFmtId="164" fontId="14" fillId="5" borderId="32" xfId="1" applyFont="1" applyFill="1" applyBorder="1" applyAlignment="1" applyProtection="1">
      <alignment horizontal="center" vertical="center"/>
      <protection locked="0"/>
    </xf>
    <xf numFmtId="165" fontId="14" fillId="5" borderId="33" xfId="0" applyNumberFormat="1" applyFont="1" applyFill="1" applyBorder="1" applyAlignment="1" applyProtection="1">
      <alignment horizontal="center" vertical="center"/>
      <protection locked="0"/>
    </xf>
    <xf numFmtId="3" fontId="2" fillId="5" borderId="27" xfId="0" applyNumberFormat="1" applyFont="1" applyFill="1" applyBorder="1" applyAlignment="1" applyProtection="1">
      <alignment horizontal="right" vertical="center"/>
      <protection hidden="1"/>
    </xf>
    <xf numFmtId="3" fontId="2" fillId="5" borderId="25" xfId="0" applyNumberFormat="1" applyFont="1" applyFill="1" applyBorder="1" applyAlignment="1" applyProtection="1">
      <alignment horizontal="right" vertical="center"/>
      <protection hidden="1"/>
    </xf>
    <xf numFmtId="3" fontId="2" fillId="5" borderId="31" xfId="0" applyNumberFormat="1" applyFont="1" applyFill="1" applyBorder="1" applyAlignment="1" applyProtection="1">
      <alignment vertical="center"/>
      <protection hidden="1"/>
    </xf>
    <xf numFmtId="3" fontId="2" fillId="5" borderId="24" xfId="0" applyNumberFormat="1" applyFont="1" applyFill="1" applyBorder="1" applyAlignment="1" applyProtection="1">
      <alignment vertical="center"/>
      <protection hidden="1"/>
    </xf>
    <xf numFmtId="3" fontId="2" fillId="8" borderId="23" xfId="0" applyNumberFormat="1" applyFont="1" applyFill="1" applyBorder="1" applyAlignment="1" applyProtection="1">
      <alignment horizontal="right" vertical="center"/>
      <protection hidden="1"/>
    </xf>
    <xf numFmtId="4" fontId="2" fillId="8" borderId="2" xfId="0" applyNumberFormat="1" applyFont="1" applyFill="1" applyBorder="1" applyAlignment="1" applyProtection="1">
      <alignment horizontal="center" vertical="center"/>
      <protection hidden="1"/>
    </xf>
    <xf numFmtId="3" fontId="2" fillId="8" borderId="2" xfId="0" applyNumberFormat="1" applyFont="1" applyFill="1" applyBorder="1" applyAlignment="1" applyProtection="1">
      <alignment horizontal="center" vertical="center"/>
      <protection hidden="1"/>
    </xf>
    <xf numFmtId="164" fontId="2" fillId="5" borderId="2" xfId="1" applyFont="1" applyFill="1" applyBorder="1" applyAlignment="1" applyProtection="1">
      <alignment horizontal="right" vertical="center"/>
      <protection hidden="1"/>
    </xf>
    <xf numFmtId="0" fontId="2" fillId="5" borderId="2" xfId="0" applyFont="1" applyFill="1" applyBorder="1" applyAlignment="1" applyProtection="1">
      <alignment horizontal="center" vertical="center"/>
      <protection hidden="1"/>
    </xf>
    <xf numFmtId="0" fontId="2" fillId="5" borderId="4" xfId="0" applyFont="1" applyFill="1" applyBorder="1" applyAlignment="1" applyProtection="1">
      <alignment horizontal="center" vertical="center"/>
      <protection locked="0"/>
    </xf>
    <xf numFmtId="4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2" xfId="0" applyNumberFormat="1" applyFont="1" applyFill="1" applyBorder="1" applyAlignment="1" applyProtection="1">
      <alignment horizontal="center" vertical="center"/>
      <protection hidden="1"/>
    </xf>
    <xf numFmtId="3" fontId="2" fillId="5" borderId="34" xfId="0" applyNumberFormat="1" applyFont="1" applyFill="1" applyBorder="1" applyAlignment="1" applyProtection="1">
      <alignment horizontal="right" vertical="center"/>
      <protection hidden="1"/>
    </xf>
    <xf numFmtId="3" fontId="2" fillId="5" borderId="4" xfId="0" applyNumberFormat="1" applyFont="1" applyFill="1" applyBorder="1" applyAlignment="1" applyProtection="1">
      <alignment vertical="center"/>
      <protection hidden="1"/>
    </xf>
    <xf numFmtId="3" fontId="2" fillId="5" borderId="2" xfId="0" applyNumberFormat="1" applyFont="1" applyFill="1" applyBorder="1" applyAlignment="1" applyProtection="1">
      <alignment vertical="center"/>
      <protection hidden="1"/>
    </xf>
    <xf numFmtId="3" fontId="2" fillId="5" borderId="6" xfId="0" applyNumberFormat="1" applyFont="1" applyFill="1" applyBorder="1" applyAlignment="1" applyProtection="1">
      <alignment vertical="center"/>
      <protection hidden="1"/>
    </xf>
    <xf numFmtId="3" fontId="2" fillId="8" borderId="34" xfId="0" applyNumberFormat="1" applyFont="1" applyFill="1" applyBorder="1" applyAlignment="1" applyProtection="1">
      <alignment horizontal="right" vertical="center"/>
      <protection hidden="1"/>
    </xf>
    <xf numFmtId="3" fontId="2" fillId="8" borderId="2" xfId="0" applyNumberFormat="1" applyFont="1" applyFill="1" applyBorder="1" applyAlignment="1" applyProtection="1">
      <alignment vertical="center"/>
      <protection hidden="1"/>
    </xf>
    <xf numFmtId="0" fontId="2" fillId="9" borderId="2" xfId="0" applyFont="1" applyFill="1" applyBorder="1" applyAlignment="1">
      <alignment horizontal="center" vertical="center"/>
    </xf>
    <xf numFmtId="0" fontId="2" fillId="5" borderId="4" xfId="0" applyFont="1" applyFill="1" applyBorder="1" applyAlignment="1" applyProtection="1">
      <alignment horizontal="center" vertical="center"/>
      <protection locked="0"/>
    </xf>
    <xf numFmtId="164" fontId="0" fillId="10" borderId="2" xfId="0" applyNumberFormat="1" applyFill="1" applyBorder="1" applyAlignment="1" applyProtection="1">
      <alignment horizontal="right" vertical="center"/>
      <protection locked="0"/>
    </xf>
    <xf numFmtId="164" fontId="0" fillId="10" borderId="3" xfId="0" applyNumberFormat="1" applyFill="1" applyBorder="1" applyAlignment="1" applyProtection="1">
      <alignment horizontal="right" vertical="center"/>
      <protection locked="0"/>
    </xf>
    <xf numFmtId="2" fontId="0" fillId="10" borderId="3" xfId="0" applyNumberFormat="1" applyFill="1" applyBorder="1" applyAlignment="1" applyProtection="1">
      <alignment horizontal="right" vertical="center"/>
      <protection locked="0"/>
    </xf>
    <xf numFmtId="1" fontId="0" fillId="10" borderId="3" xfId="0" applyNumberFormat="1" applyFill="1" applyBorder="1" applyAlignment="1" applyProtection="1">
      <alignment horizontal="right" vertical="center"/>
      <protection locked="0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10" fillId="10" borderId="0" xfId="0" applyNumberFormat="1" applyFont="1" applyFill="1" applyBorder="1" applyAlignment="1" applyProtection="1">
      <alignment horizontal="center" vertical="center"/>
      <protection locked="0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16" fillId="2" borderId="0" xfId="0" applyFont="1" applyFill="1" applyBorder="1" applyAlignment="1">
      <alignment horizontal="center" vertical="center"/>
    </xf>
    <xf numFmtId="0" fontId="18" fillId="2" borderId="0" xfId="0" applyFont="1" applyFill="1" applyBorder="1" applyAlignment="1">
      <alignment horizontal="center" vertical="center"/>
    </xf>
    <xf numFmtId="3" fontId="2" fillId="2" borderId="50" xfId="0" applyNumberFormat="1" applyFont="1" applyFill="1" applyBorder="1" applyAlignment="1">
      <alignment vertical="center"/>
    </xf>
    <xf numFmtId="3" fontId="10" fillId="4" borderId="0" xfId="0" applyNumberFormat="1" applyFont="1" applyFill="1" applyBorder="1" applyAlignment="1">
      <alignment horizontal="center" vertical="center"/>
    </xf>
    <xf numFmtId="3" fontId="2" fillId="2" borderId="51" xfId="0" applyNumberFormat="1" applyFont="1" applyFill="1" applyBorder="1" applyAlignment="1">
      <alignment vertical="center"/>
    </xf>
    <xf numFmtId="3" fontId="2" fillId="5" borderId="13" xfId="0" applyNumberFormat="1" applyFont="1" applyFill="1" applyBorder="1" applyAlignment="1" applyProtection="1">
      <alignment vertical="center"/>
      <protection hidden="1"/>
    </xf>
    <xf numFmtId="3" fontId="2" fillId="5" borderId="8" xfId="0" applyNumberFormat="1" applyFont="1" applyFill="1" applyBorder="1" applyAlignment="1" applyProtection="1">
      <alignment vertical="center"/>
      <protection hidden="1"/>
    </xf>
    <xf numFmtId="3" fontId="2" fillId="8" borderId="1" xfId="0" applyNumberFormat="1" applyFont="1" applyFill="1" applyBorder="1" applyAlignment="1" applyProtection="1">
      <alignment vertical="center"/>
      <protection hidden="1"/>
    </xf>
    <xf numFmtId="2" fontId="4" fillId="0" borderId="2" xfId="0" applyNumberFormat="1" applyFont="1" applyFill="1" applyBorder="1" applyAlignment="1" applyProtection="1">
      <alignment vertical="center"/>
      <protection locked="0"/>
    </xf>
    <xf numFmtId="0" fontId="4" fillId="2" borderId="50" xfId="0" applyFont="1" applyFill="1" applyBorder="1" applyAlignment="1">
      <alignment vertical="center"/>
    </xf>
    <xf numFmtId="0" fontId="4" fillId="2" borderId="51" xfId="0" applyFont="1" applyFill="1" applyBorder="1" applyAlignment="1">
      <alignment vertical="center"/>
    </xf>
    <xf numFmtId="3" fontId="4" fillId="2" borderId="4" xfId="0" applyNumberFormat="1" applyFont="1" applyFill="1" applyBorder="1" applyAlignment="1" applyProtection="1">
      <alignment vertical="center"/>
      <protection locked="0"/>
    </xf>
    <xf numFmtId="0" fontId="3" fillId="2" borderId="0" xfId="0" applyFont="1" applyFill="1" applyBorder="1" applyAlignment="1" applyProtection="1">
      <alignment horizontal="left" vertical="center"/>
      <protection locked="0"/>
    </xf>
    <xf numFmtId="1" fontId="0" fillId="2" borderId="0" xfId="1" applyNumberFormat="1" applyFont="1" applyFill="1" applyBorder="1" applyAlignment="1" applyProtection="1">
      <alignment horizontal="right" vertical="center"/>
      <protection locked="0"/>
    </xf>
    <xf numFmtId="3" fontId="2" fillId="8" borderId="3" xfId="0" applyNumberFormat="1" applyFont="1" applyFill="1" applyBorder="1" applyAlignment="1" applyProtection="1">
      <alignment horizontal="right" vertical="center"/>
      <protection hidden="1"/>
    </xf>
    <xf numFmtId="3" fontId="2" fillId="5" borderId="3" xfId="0" applyNumberFormat="1" applyFont="1" applyFill="1" applyBorder="1" applyAlignment="1" applyProtection="1">
      <alignment horizontal="right" vertical="center"/>
      <protection hidden="1"/>
    </xf>
    <xf numFmtId="169" fontId="0" fillId="2" borderId="2" xfId="1" applyNumberFormat="1" applyFont="1" applyFill="1" applyBorder="1" applyAlignment="1" applyProtection="1">
      <alignment horizontal="right" vertical="center"/>
      <protection locked="0"/>
    </xf>
    <xf numFmtId="0" fontId="0" fillId="2" borderId="50" xfId="0" applyFont="1" applyFill="1" applyBorder="1" applyAlignment="1">
      <alignment vertical="center"/>
    </xf>
    <xf numFmtId="0" fontId="0" fillId="2" borderId="51" xfId="0" applyFont="1" applyFill="1" applyBorder="1" applyAlignment="1">
      <alignment vertical="center"/>
    </xf>
    <xf numFmtId="3" fontId="0" fillId="2" borderId="0" xfId="0" applyNumberFormat="1" applyFont="1" applyFill="1" applyBorder="1" applyAlignment="1">
      <alignment vertical="center"/>
    </xf>
    <xf numFmtId="0" fontId="0" fillId="4" borderId="1" xfId="0" applyFont="1" applyFill="1" applyBorder="1" applyAlignment="1">
      <alignment horizontal="left" vertical="center"/>
    </xf>
    <xf numFmtId="0" fontId="0" fillId="2" borderId="1" xfId="0" applyFont="1" applyFill="1" applyBorder="1" applyAlignment="1" applyProtection="1">
      <alignment horizontal="left" vertical="center"/>
      <protection locked="0"/>
    </xf>
    <xf numFmtId="2" fontId="4" fillId="0" borderId="10" xfId="0" applyNumberFormat="1" applyFont="1" applyFill="1" applyBorder="1" applyAlignment="1" applyProtection="1">
      <alignment vertical="center"/>
      <protection locked="0"/>
    </xf>
    <xf numFmtId="3" fontId="4" fillId="2" borderId="10" xfId="0" applyNumberFormat="1" applyFont="1" applyFill="1" applyBorder="1" applyAlignment="1">
      <alignment vertical="center"/>
    </xf>
    <xf numFmtId="3" fontId="0" fillId="2" borderId="10" xfId="0" applyNumberFormat="1" applyFont="1" applyFill="1" applyBorder="1" applyAlignment="1">
      <alignment vertical="center"/>
    </xf>
    <xf numFmtId="0" fontId="0" fillId="2" borderId="2" xfId="0" applyFont="1" applyFill="1" applyBorder="1" applyAlignment="1" applyProtection="1">
      <alignment horizontal="right" vertical="center"/>
      <protection locked="0"/>
    </xf>
    <xf numFmtId="4" fontId="0" fillId="2" borderId="10" xfId="0" applyNumberFormat="1" applyFont="1" applyFill="1" applyBorder="1" applyAlignment="1" applyProtection="1">
      <alignment horizontal="right" vertical="center"/>
      <protection locked="0"/>
    </xf>
    <xf numFmtId="0" fontId="2" fillId="0" borderId="16" xfId="0" applyFont="1" applyFill="1" applyBorder="1" applyAlignment="1" applyProtection="1">
      <alignment horizontal="center" vertical="center"/>
      <protection locked="0"/>
    </xf>
    <xf numFmtId="3" fontId="2" fillId="0" borderId="16" xfId="0" applyNumberFormat="1" applyFont="1" applyFill="1" applyBorder="1" applyAlignment="1" applyProtection="1">
      <alignment horizontal="right" vertical="center"/>
      <protection hidden="1"/>
    </xf>
    <xf numFmtId="3" fontId="0" fillId="2" borderId="10" xfId="0" applyNumberFormat="1" applyFont="1" applyFill="1" applyBorder="1" applyAlignment="1" applyProtection="1">
      <alignment vertical="center"/>
      <protection locked="0"/>
    </xf>
    <xf numFmtId="3" fontId="3" fillId="2" borderId="2" xfId="0" applyNumberFormat="1" applyFont="1" applyFill="1" applyBorder="1" applyAlignment="1">
      <alignment vertical="center"/>
    </xf>
    <xf numFmtId="3" fontId="2" fillId="8" borderId="2" xfId="0" applyNumberFormat="1" applyFont="1" applyFill="1" applyBorder="1" applyAlignment="1" applyProtection="1">
      <alignment horizontal="right" vertical="center"/>
      <protection hidden="1"/>
    </xf>
    <xf numFmtId="3" fontId="2" fillId="5" borderId="2" xfId="0" applyNumberFormat="1" applyFont="1" applyFill="1" applyBorder="1" applyAlignment="1" applyProtection="1">
      <alignment horizontal="right" vertical="center"/>
      <protection hidden="1"/>
    </xf>
    <xf numFmtId="0" fontId="2" fillId="0" borderId="0" xfId="0" applyFont="1" applyFill="1" applyBorder="1" applyAlignment="1" applyProtection="1">
      <alignment horizontal="center" vertical="center"/>
      <protection locked="0"/>
    </xf>
    <xf numFmtId="0" fontId="21" fillId="0" borderId="0" xfId="0" applyFont="1" applyFill="1" applyBorder="1" applyAlignment="1">
      <alignment vertical="center"/>
    </xf>
    <xf numFmtId="0" fontId="6" fillId="0" borderId="0" xfId="0" applyFont="1" applyFill="1" applyBorder="1" applyAlignment="1">
      <alignment horizontal="right" vertical="center"/>
    </xf>
    <xf numFmtId="3" fontId="2" fillId="0" borderId="0" xfId="0" applyNumberFormat="1" applyFont="1" applyFill="1" applyBorder="1" applyAlignment="1" applyProtection="1">
      <alignment horizontal="right" vertical="center"/>
      <protection hidden="1"/>
    </xf>
    <xf numFmtId="3" fontId="2" fillId="0" borderId="51" xfId="0" applyNumberFormat="1" applyFont="1" applyFill="1" applyBorder="1" applyAlignment="1">
      <alignment vertical="center"/>
    </xf>
    <xf numFmtId="3" fontId="2" fillId="0" borderId="0" xfId="0" applyNumberFormat="1" applyFont="1" applyFill="1" applyBorder="1" applyAlignment="1" applyProtection="1">
      <alignment vertical="center"/>
      <protection hidden="1"/>
    </xf>
    <xf numFmtId="0" fontId="10" fillId="4" borderId="10" xfId="0" applyFont="1" applyFill="1" applyBorder="1" applyAlignment="1">
      <alignment horizontal="center" vertical="center"/>
    </xf>
    <xf numFmtId="0" fontId="2" fillId="0" borderId="0" xfId="0" applyFont="1" applyFill="1" applyBorder="1" applyAlignment="1">
      <alignment vertical="center"/>
    </xf>
    <xf numFmtId="3" fontId="2" fillId="0" borderId="0" xfId="0" applyNumberFormat="1" applyFont="1" applyFill="1" applyBorder="1" applyAlignment="1">
      <alignment vertical="center"/>
    </xf>
    <xf numFmtId="0" fontId="10" fillId="0" borderId="12" xfId="0" applyFont="1" applyFill="1" applyBorder="1" applyAlignment="1">
      <alignment horizontal="center" vertical="center"/>
    </xf>
    <xf numFmtId="3" fontId="3" fillId="2" borderId="0" xfId="0" applyNumberFormat="1" applyFont="1" applyFill="1" applyBorder="1" applyAlignment="1" applyProtection="1">
      <alignment vertical="center"/>
      <protection locked="0"/>
    </xf>
    <xf numFmtId="9" fontId="0" fillId="2" borderId="2" xfId="1" applyNumberFormat="1" applyFont="1" applyFill="1" applyBorder="1" applyAlignment="1" applyProtection="1">
      <alignment horizontal="right" vertical="center"/>
      <protection locked="0"/>
    </xf>
    <xf numFmtId="0" fontId="4" fillId="5" borderId="51" xfId="0" applyFont="1" applyFill="1" applyBorder="1" applyAlignment="1">
      <alignment vertical="center"/>
    </xf>
    <xf numFmtId="3" fontId="2" fillId="4" borderId="0" xfId="0" applyNumberFormat="1" applyFont="1" applyFill="1" applyBorder="1" applyAlignment="1">
      <alignment vertical="center"/>
    </xf>
    <xf numFmtId="0" fontId="10" fillId="4" borderId="16" xfId="0" applyFont="1" applyFill="1" applyBorder="1" applyAlignment="1">
      <alignment horizontal="center" vertical="center"/>
    </xf>
    <xf numFmtId="0" fontId="21" fillId="4" borderId="0" xfId="0" applyFont="1" applyFill="1" applyBorder="1" applyAlignment="1">
      <alignment vertical="center"/>
    </xf>
    <xf numFmtId="0" fontId="6" fillId="4" borderId="0" xfId="0" applyFont="1" applyFill="1" applyBorder="1" applyAlignment="1">
      <alignment horizontal="right" vertical="center"/>
    </xf>
    <xf numFmtId="0" fontId="0" fillId="2" borderId="53" xfId="0" applyFont="1" applyFill="1" applyBorder="1" applyAlignment="1" applyProtection="1">
      <alignment vertical="center"/>
      <protection locked="0"/>
    </xf>
    <xf numFmtId="10" fontId="0" fillId="2" borderId="2" xfId="1" applyNumberFormat="1" applyFont="1" applyFill="1" applyBorder="1" applyAlignment="1" applyProtection="1">
      <alignment horizontal="right" vertical="center"/>
      <protection locked="0"/>
    </xf>
    <xf numFmtId="0" fontId="2" fillId="5" borderId="4" xfId="0" applyFont="1" applyFill="1" applyBorder="1" applyAlignment="1" applyProtection="1">
      <alignment horizontal="center" vertical="center"/>
      <protection locked="0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3" fontId="2" fillId="2" borderId="50" xfId="0" applyNumberFormat="1" applyFont="1" applyFill="1" applyBorder="1" applyAlignment="1">
      <alignment vertical="center"/>
    </xf>
    <xf numFmtId="3" fontId="2" fillId="2" borderId="51" xfId="0" applyNumberFormat="1" applyFont="1" applyFill="1" applyBorder="1" applyAlignment="1">
      <alignment vertical="center"/>
    </xf>
    <xf numFmtId="3" fontId="2" fillId="4" borderId="11" xfId="0" applyNumberFormat="1" applyFont="1" applyFill="1" applyBorder="1" applyAlignment="1" applyProtection="1">
      <alignment horizontal="right" vertical="center"/>
      <protection hidden="1"/>
    </xf>
    <xf numFmtId="4" fontId="4" fillId="4" borderId="16" xfId="0" applyNumberFormat="1" applyFont="1" applyFill="1" applyBorder="1" applyAlignment="1" applyProtection="1">
      <alignment horizontal="right" vertical="center"/>
      <protection locked="0"/>
    </xf>
    <xf numFmtId="3" fontId="4" fillId="4" borderId="16" xfId="0" applyNumberFormat="1" applyFont="1" applyFill="1" applyBorder="1" applyAlignment="1" applyProtection="1">
      <alignment vertical="center"/>
      <protection locked="0"/>
    </xf>
    <xf numFmtId="4" fontId="4" fillId="4" borderId="16" xfId="0" applyNumberFormat="1" applyFont="1" applyFill="1" applyBorder="1" applyAlignment="1" applyProtection="1">
      <alignment vertical="center"/>
      <protection locked="0"/>
    </xf>
    <xf numFmtId="0" fontId="4" fillId="4" borderId="16" xfId="0" applyFont="1" applyFill="1" applyBorder="1" applyAlignment="1">
      <alignment vertical="center"/>
    </xf>
    <xf numFmtId="0" fontId="0" fillId="4" borderId="16" xfId="0" applyFont="1" applyFill="1" applyBorder="1" applyAlignment="1">
      <alignment vertical="center"/>
    </xf>
    <xf numFmtId="164" fontId="4" fillId="2" borderId="15" xfId="1" applyFont="1" applyFill="1" applyBorder="1" applyAlignment="1" applyProtection="1">
      <alignment horizontal="right" vertical="center"/>
      <protection locked="0"/>
    </xf>
    <xf numFmtId="0" fontId="0" fillId="5" borderId="0" xfId="0" applyFont="1" applyFill="1" applyAlignment="1">
      <alignment vertical="center"/>
    </xf>
    <xf numFmtId="0" fontId="13" fillId="11" borderId="10" xfId="0" applyFont="1" applyFill="1" applyBorder="1" applyAlignment="1" applyProtection="1">
      <alignment horizontal="left" vertical="center"/>
      <protection locked="0"/>
    </xf>
    <xf numFmtId="4" fontId="0" fillId="2" borderId="1" xfId="0" applyNumberFormat="1" applyFont="1" applyFill="1" applyBorder="1" applyAlignment="1" applyProtection="1">
      <alignment vertical="center"/>
      <protection locked="0"/>
    </xf>
    <xf numFmtId="0" fontId="0" fillId="2" borderId="1" xfId="0" applyFont="1" applyFill="1" applyBorder="1" applyAlignment="1" applyProtection="1">
      <alignment horizontal="center" vertical="center"/>
      <protection locked="0"/>
    </xf>
    <xf numFmtId="3" fontId="10" fillId="4" borderId="11" xfId="0" applyNumberFormat="1" applyFont="1" applyFill="1" applyBorder="1" applyAlignment="1">
      <alignment horizontal="center" vertical="center"/>
    </xf>
    <xf numFmtId="0" fontId="0" fillId="2" borderId="4" xfId="0" applyFont="1" applyFill="1" applyBorder="1" applyAlignment="1" applyProtection="1">
      <alignment horizontal="left" vertical="center"/>
      <protection locked="0"/>
    </xf>
    <xf numFmtId="3" fontId="6" fillId="2" borderId="50" xfId="0" applyNumberFormat="1" applyFont="1" applyFill="1" applyBorder="1" applyAlignment="1">
      <alignment vertical="center"/>
    </xf>
    <xf numFmtId="3" fontId="6" fillId="2" borderId="51" xfId="0" applyNumberFormat="1" applyFont="1" applyFill="1" applyBorder="1" applyAlignment="1">
      <alignment vertical="center"/>
    </xf>
    <xf numFmtId="0" fontId="2" fillId="4" borderId="11" xfId="0" applyFont="1" applyFill="1" applyBorder="1" applyAlignment="1">
      <alignment horizontal="center" vertical="center"/>
    </xf>
    <xf numFmtId="0" fontId="2" fillId="4" borderId="11" xfId="0" applyFont="1" applyFill="1" applyBorder="1" applyAlignment="1">
      <alignment vertical="center"/>
    </xf>
    <xf numFmtId="164" fontId="6" fillId="4" borderId="11" xfId="1" applyFont="1" applyFill="1" applyBorder="1" applyAlignment="1" applyProtection="1">
      <alignment horizontal="right" vertical="center"/>
      <protection hidden="1"/>
    </xf>
    <xf numFmtId="0" fontId="6" fillId="4" borderId="11" xfId="0" applyFont="1" applyFill="1" applyBorder="1" applyAlignment="1" applyProtection="1">
      <alignment vertical="center"/>
      <protection hidden="1"/>
    </xf>
    <xf numFmtId="3" fontId="6" fillId="4" borderId="11" xfId="0" applyNumberFormat="1" applyFont="1" applyFill="1" applyBorder="1" applyAlignment="1" applyProtection="1">
      <alignment horizontal="right" vertical="center"/>
      <protection hidden="1"/>
    </xf>
    <xf numFmtId="3" fontId="6" fillId="4" borderId="0" xfId="0" applyNumberFormat="1" applyFont="1" applyFill="1" applyBorder="1" applyAlignment="1">
      <alignment vertical="center"/>
    </xf>
    <xf numFmtId="3" fontId="6" fillId="4" borderId="11" xfId="0" applyNumberFormat="1" applyFont="1" applyFill="1" applyBorder="1" applyAlignment="1" applyProtection="1">
      <alignment vertical="center"/>
      <protection hidden="1"/>
    </xf>
    <xf numFmtId="3" fontId="6" fillId="4" borderId="55" xfId="0" applyNumberFormat="1" applyFont="1" applyFill="1" applyBorder="1" applyAlignment="1">
      <alignment vertical="center"/>
    </xf>
    <xf numFmtId="0" fontId="3" fillId="0" borderId="10" xfId="0" applyFont="1" applyFill="1" applyBorder="1" applyAlignment="1" applyProtection="1">
      <alignment horizontal="left" vertical="center"/>
      <protection locked="0"/>
    </xf>
    <xf numFmtId="1" fontId="4" fillId="2" borderId="2" xfId="0" applyNumberFormat="1" applyFont="1" applyFill="1" applyBorder="1" applyAlignment="1" applyProtection="1">
      <alignment vertical="center"/>
      <protection locked="0"/>
    </xf>
    <xf numFmtId="0" fontId="2" fillId="4" borderId="11" xfId="0" applyFont="1" applyFill="1" applyBorder="1" applyAlignment="1" applyProtection="1">
      <alignment horizontal="center" vertical="center"/>
      <protection locked="0"/>
    </xf>
    <xf numFmtId="0" fontId="2" fillId="5" borderId="3" xfId="0" applyFont="1" applyFill="1" applyBorder="1" applyAlignment="1" applyProtection="1">
      <alignment horizontal="center" vertical="center"/>
      <protection hidden="1"/>
    </xf>
    <xf numFmtId="164" fontId="4" fillId="4" borderId="16" xfId="1" applyFont="1" applyFill="1" applyBorder="1" applyAlignment="1" applyProtection="1">
      <alignment horizontal="right" vertical="center"/>
      <protection locked="0"/>
    </xf>
    <xf numFmtId="0" fontId="2" fillId="4" borderId="16" xfId="0" applyFont="1" applyFill="1" applyBorder="1" applyAlignment="1" applyProtection="1">
      <alignment horizontal="center" vertical="center"/>
      <protection locked="0"/>
    </xf>
    <xf numFmtId="3" fontId="2" fillId="4" borderId="16" xfId="0" applyNumberFormat="1" applyFont="1" applyFill="1" applyBorder="1" applyAlignment="1" applyProtection="1">
      <alignment horizontal="right" vertical="center"/>
      <protection hidden="1"/>
    </xf>
    <xf numFmtId="3" fontId="4" fillId="2" borderId="50" xfId="0" applyNumberFormat="1" applyFont="1" applyFill="1" applyBorder="1" applyAlignment="1">
      <alignment vertical="center"/>
    </xf>
    <xf numFmtId="3" fontId="4" fillId="2" borderId="51" xfId="0" applyNumberFormat="1" applyFont="1" applyFill="1" applyBorder="1" applyAlignment="1">
      <alignment vertical="center"/>
    </xf>
    <xf numFmtId="3" fontId="0" fillId="2" borderId="50" xfId="0" applyNumberFormat="1" applyFont="1" applyFill="1" applyBorder="1" applyAlignment="1">
      <alignment vertical="center"/>
    </xf>
    <xf numFmtId="3" fontId="0" fillId="2" borderId="51" xfId="0" applyNumberFormat="1" applyFont="1" applyFill="1" applyBorder="1" applyAlignment="1">
      <alignment vertical="center"/>
    </xf>
    <xf numFmtId="0" fontId="0" fillId="0" borderId="3" xfId="0" applyFont="1" applyFill="1" applyBorder="1" applyAlignment="1" applyProtection="1">
      <alignment horizontal="left" vertical="center"/>
      <protection locked="0"/>
    </xf>
    <xf numFmtId="0" fontId="0" fillId="2" borderId="15" xfId="0" applyFont="1" applyFill="1" applyBorder="1" applyAlignment="1" applyProtection="1">
      <alignment horizontal="left" vertical="center"/>
      <protection locked="0"/>
    </xf>
    <xf numFmtId="0" fontId="0" fillId="0" borderId="1" xfId="0" applyFont="1" applyBorder="1" applyAlignment="1">
      <alignment vertical="center"/>
    </xf>
    <xf numFmtId="0" fontId="6" fillId="0" borderId="35" xfId="0" applyFont="1" applyBorder="1" applyAlignment="1">
      <alignment horizontal="center" vertical="center"/>
    </xf>
    <xf numFmtId="0" fontId="0" fillId="4" borderId="1" xfId="0" applyFont="1" applyFill="1" applyBorder="1" applyAlignment="1" applyProtection="1">
      <alignment horizontal="right" vertical="center"/>
      <protection locked="0"/>
    </xf>
    <xf numFmtId="0" fontId="3" fillId="4" borderId="14" xfId="0" applyFont="1" applyFill="1" applyBorder="1" applyAlignment="1" applyProtection="1">
      <alignment horizontal="left" vertical="center"/>
      <protection locked="0"/>
    </xf>
    <xf numFmtId="0" fontId="3" fillId="4" borderId="4" xfId="0" applyFont="1" applyFill="1" applyBorder="1" applyAlignment="1" applyProtection="1">
      <alignment horizontal="left" vertical="center"/>
      <protection locked="0"/>
    </xf>
    <xf numFmtId="0" fontId="3" fillId="4" borderId="14" xfId="0" applyFont="1" applyFill="1" applyBorder="1" applyAlignment="1">
      <alignment horizontal="left" vertical="center"/>
    </xf>
    <xf numFmtId="1" fontId="4" fillId="4" borderId="2" xfId="1" applyNumberFormat="1" applyFont="1" applyFill="1" applyBorder="1" applyAlignment="1" applyProtection="1">
      <alignment horizontal="right" vertical="center"/>
      <protection locked="0"/>
    </xf>
    <xf numFmtId="3" fontId="4" fillId="4" borderId="0" xfId="0" applyNumberFormat="1" applyFont="1" applyFill="1" applyBorder="1" applyAlignment="1" applyProtection="1">
      <alignment horizontal="right" vertical="center"/>
      <protection locked="0"/>
    </xf>
    <xf numFmtId="4" fontId="4" fillId="4" borderId="2" xfId="0" applyNumberFormat="1" applyFont="1" applyFill="1" applyBorder="1" applyAlignment="1" applyProtection="1">
      <alignment horizontal="right" vertical="center"/>
      <protection locked="0"/>
    </xf>
    <xf numFmtId="10" fontId="0" fillId="4" borderId="2" xfId="0" applyNumberFormat="1" applyFont="1" applyFill="1" applyBorder="1" applyAlignment="1" applyProtection="1">
      <alignment vertical="center"/>
      <protection locked="0"/>
    </xf>
    <xf numFmtId="4" fontId="0" fillId="4" borderId="2" xfId="0" applyNumberFormat="1" applyFont="1" applyFill="1" applyBorder="1" applyAlignment="1" applyProtection="1">
      <alignment horizontal="right" vertical="center"/>
      <protection locked="0"/>
    </xf>
    <xf numFmtId="1" fontId="4" fillId="4" borderId="2" xfId="0" applyNumberFormat="1" applyFont="1" applyFill="1" applyBorder="1" applyAlignment="1" applyProtection="1">
      <alignment vertical="center"/>
      <protection locked="0"/>
    </xf>
    <xf numFmtId="164" fontId="4" fillId="4" borderId="0" xfId="1" applyFont="1" applyFill="1" applyBorder="1" applyAlignment="1" applyProtection="1">
      <alignment horizontal="right" vertical="center"/>
      <protection locked="0"/>
    </xf>
    <xf numFmtId="4" fontId="4" fillId="4" borderId="0" xfId="0" applyNumberFormat="1" applyFont="1" applyFill="1" applyBorder="1" applyAlignment="1" applyProtection="1">
      <alignment horizontal="right" vertical="center"/>
      <protection locked="0"/>
    </xf>
    <xf numFmtId="10" fontId="4" fillId="4" borderId="0" xfId="0" applyNumberFormat="1" applyFont="1" applyFill="1" applyBorder="1" applyAlignment="1" applyProtection="1">
      <alignment vertical="center"/>
      <protection locked="0"/>
    </xf>
    <xf numFmtId="3" fontId="4" fillId="4" borderId="1" xfId="0" applyNumberFormat="1" applyFont="1" applyFill="1" applyBorder="1" applyAlignment="1" applyProtection="1">
      <alignment vertical="center"/>
      <protection locked="0"/>
    </xf>
    <xf numFmtId="164" fontId="4" fillId="4" borderId="2" xfId="1" applyFont="1" applyFill="1" applyBorder="1" applyAlignment="1" applyProtection="1">
      <alignment horizontal="right" vertical="center"/>
      <protection locked="0"/>
    </xf>
    <xf numFmtId="0" fontId="4" fillId="4" borderId="0" xfId="0" applyFont="1" applyFill="1" applyAlignment="1">
      <alignment vertical="center"/>
    </xf>
    <xf numFmtId="4" fontId="4" fillId="4" borderId="1" xfId="0" applyNumberFormat="1" applyFont="1" applyFill="1" applyBorder="1" applyAlignment="1" applyProtection="1">
      <alignment vertical="center"/>
      <protection locked="0"/>
    </xf>
    <xf numFmtId="164" fontId="0" fillId="4" borderId="2" xfId="1" applyFont="1" applyFill="1" applyBorder="1" applyAlignment="1" applyProtection="1">
      <alignment horizontal="right" vertical="center"/>
      <protection locked="0"/>
    </xf>
    <xf numFmtId="4" fontId="4" fillId="4" borderId="2" xfId="0" applyNumberFormat="1" applyFont="1" applyFill="1" applyBorder="1" applyAlignment="1" applyProtection="1">
      <alignment vertical="center"/>
      <protection locked="0"/>
    </xf>
    <xf numFmtId="0" fontId="4" fillId="4" borderId="2" xfId="0" applyNumberFormat="1" applyFont="1" applyFill="1" applyBorder="1" applyAlignment="1" applyProtection="1">
      <alignment vertical="center"/>
      <protection locked="0"/>
    </xf>
    <xf numFmtId="2" fontId="4" fillId="4" borderId="2" xfId="1" applyNumberFormat="1" applyFont="1" applyFill="1" applyBorder="1" applyAlignment="1" applyProtection="1">
      <alignment horizontal="right" vertical="center"/>
      <protection locked="0"/>
    </xf>
    <xf numFmtId="10" fontId="4" fillId="4" borderId="2" xfId="0" applyNumberFormat="1" applyFont="1" applyFill="1" applyBorder="1" applyAlignment="1" applyProtection="1">
      <alignment vertical="center"/>
      <protection locked="0"/>
    </xf>
    <xf numFmtId="1" fontId="4" fillId="4" borderId="0" xfId="1" applyNumberFormat="1" applyFont="1" applyFill="1" applyBorder="1" applyAlignment="1" applyProtection="1">
      <alignment horizontal="right" vertical="center"/>
      <protection locked="0"/>
    </xf>
    <xf numFmtId="3" fontId="4" fillId="4" borderId="8" xfId="0" applyNumberFormat="1" applyFont="1" applyFill="1" applyBorder="1" applyAlignment="1">
      <alignment vertical="center"/>
    </xf>
    <xf numFmtId="3" fontId="4" fillId="4" borderId="1" xfId="0" applyNumberFormat="1" applyFont="1" applyFill="1" applyBorder="1" applyAlignment="1">
      <alignment vertical="center"/>
    </xf>
    <xf numFmtId="3" fontId="4" fillId="4" borderId="3" xfId="0" applyNumberFormat="1" applyFont="1" applyFill="1" applyBorder="1" applyAlignment="1">
      <alignment vertical="center"/>
    </xf>
    <xf numFmtId="3" fontId="4" fillId="4" borderId="2" xfId="0" applyNumberFormat="1" applyFont="1" applyFill="1" applyBorder="1" applyAlignment="1">
      <alignment vertical="center"/>
    </xf>
    <xf numFmtId="3" fontId="4" fillId="4" borderId="0" xfId="0" applyNumberFormat="1" applyFont="1" applyFill="1" applyBorder="1" applyAlignment="1" applyProtection="1">
      <alignment vertical="center"/>
      <protection locked="0"/>
    </xf>
    <xf numFmtId="0" fontId="4" fillId="4" borderId="8" xfId="0" applyFont="1" applyFill="1" applyBorder="1" applyAlignment="1">
      <alignment vertical="center"/>
    </xf>
    <xf numFmtId="164" fontId="0" fillId="12" borderId="2" xfId="0" applyNumberFormat="1" applyFill="1" applyBorder="1" applyAlignment="1" applyProtection="1">
      <alignment horizontal="right" vertical="center"/>
      <protection locked="0"/>
    </xf>
    <xf numFmtId="164" fontId="0" fillId="12" borderId="3" xfId="0" applyNumberFormat="1" applyFill="1" applyBorder="1" applyAlignment="1" applyProtection="1">
      <alignment horizontal="right" vertical="center"/>
      <protection locked="0"/>
    </xf>
    <xf numFmtId="2" fontId="0" fillId="12" borderId="3" xfId="0" applyNumberFormat="1" applyFill="1" applyBorder="1" applyAlignment="1" applyProtection="1">
      <alignment horizontal="right" vertical="center"/>
      <protection locked="0"/>
    </xf>
    <xf numFmtId="1" fontId="0" fillId="12" borderId="3" xfId="0" applyNumberFormat="1" applyFill="1" applyBorder="1" applyAlignment="1" applyProtection="1">
      <alignment horizontal="right" vertical="center"/>
      <protection locked="0"/>
    </xf>
    <xf numFmtId="1" fontId="0" fillId="4" borderId="2" xfId="0" applyNumberFormat="1" applyFont="1" applyFill="1" applyBorder="1" applyAlignment="1" applyProtection="1">
      <alignment vertical="center"/>
      <protection locked="0"/>
    </xf>
    <xf numFmtId="0" fontId="0" fillId="4" borderId="3" xfId="0" applyFont="1" applyFill="1" applyBorder="1" applyAlignment="1" applyProtection="1">
      <alignment horizontal="left" vertical="center"/>
      <protection locked="0"/>
    </xf>
    <xf numFmtId="0" fontId="3" fillId="4" borderId="2" xfId="0" applyFont="1" applyFill="1" applyBorder="1" applyAlignment="1" applyProtection="1">
      <alignment horizontal="left" vertical="center"/>
      <protection locked="0"/>
    </xf>
    <xf numFmtId="0" fontId="2" fillId="5" borderId="4" xfId="0" applyFont="1" applyFill="1" applyBorder="1" applyAlignment="1" applyProtection="1">
      <alignment horizontal="center" vertical="center"/>
      <protection locked="0"/>
    </xf>
    <xf numFmtId="0" fontId="2" fillId="5" borderId="11" xfId="0" applyFont="1" applyFill="1" applyBorder="1" applyAlignment="1" applyProtection="1">
      <alignment horizontal="center" vertical="center"/>
      <protection locked="0"/>
    </xf>
    <xf numFmtId="0" fontId="22" fillId="2" borderId="40" xfId="0" applyFont="1" applyFill="1" applyBorder="1" applyAlignment="1">
      <alignment horizontal="center" vertical="center"/>
    </xf>
    <xf numFmtId="0" fontId="0" fillId="2" borderId="1" xfId="0" applyFont="1" applyFill="1" applyBorder="1" applyAlignment="1" applyProtection="1">
      <alignment horizontal="left" vertical="center" wrapText="1"/>
      <protection locked="0"/>
    </xf>
    <xf numFmtId="0" fontId="0" fillId="0" borderId="1" xfId="0" applyBorder="1" applyAlignment="1">
      <alignment horizontal="left" vertical="center" wrapText="1"/>
    </xf>
    <xf numFmtId="0" fontId="0" fillId="0" borderId="3" xfId="0" applyBorder="1" applyAlignment="1">
      <alignment horizontal="left" vertical="center" wrapText="1"/>
    </xf>
    <xf numFmtId="3" fontId="14" fillId="8" borderId="36" xfId="0" applyNumberFormat="1" applyFont="1" applyFill="1" applyBorder="1" applyAlignment="1">
      <alignment horizontal="center" vertical="center"/>
    </xf>
    <xf numFmtId="3" fontId="14" fillId="8" borderId="37" xfId="0" applyNumberFormat="1" applyFont="1" applyFill="1" applyBorder="1" applyAlignment="1">
      <alignment horizontal="center" vertical="center"/>
    </xf>
    <xf numFmtId="3" fontId="14" fillId="8" borderId="38" xfId="0" applyNumberFormat="1" applyFont="1" applyFill="1" applyBorder="1" applyAlignment="1">
      <alignment horizontal="center" vertical="center"/>
    </xf>
    <xf numFmtId="3" fontId="14" fillId="8" borderId="39" xfId="0" applyNumberFormat="1" applyFont="1" applyFill="1" applyBorder="1" applyAlignment="1">
      <alignment horizontal="center" vertical="center"/>
    </xf>
    <xf numFmtId="3" fontId="14" fillId="8" borderId="0" xfId="0" applyNumberFormat="1" applyFont="1" applyFill="1" applyBorder="1" applyAlignment="1">
      <alignment horizontal="center" vertical="center"/>
    </xf>
    <xf numFmtId="3" fontId="14" fillId="8" borderId="40" xfId="0" applyNumberFormat="1" applyFont="1" applyFill="1" applyBorder="1" applyAlignment="1">
      <alignment horizontal="center" vertical="center"/>
    </xf>
    <xf numFmtId="3" fontId="14" fillId="8" borderId="41" xfId="0" applyNumberFormat="1" applyFont="1" applyFill="1" applyBorder="1" applyAlignment="1">
      <alignment horizontal="center" vertical="center"/>
    </xf>
    <xf numFmtId="3" fontId="14" fillId="8" borderId="42" xfId="0" applyNumberFormat="1" applyFont="1" applyFill="1" applyBorder="1" applyAlignment="1">
      <alignment horizontal="center" vertical="center"/>
    </xf>
    <xf numFmtId="3" fontId="14" fillId="8" borderId="43" xfId="0" applyNumberFormat="1" applyFont="1" applyFill="1" applyBorder="1" applyAlignment="1">
      <alignment horizontal="center" vertical="center"/>
    </xf>
    <xf numFmtId="165" fontId="5" fillId="8" borderId="31" xfId="0" applyNumberFormat="1" applyFont="1" applyFill="1" applyBorder="1" applyAlignment="1" applyProtection="1">
      <alignment horizontal="center" vertical="center"/>
      <protection locked="0"/>
    </xf>
    <xf numFmtId="165" fontId="5" fillId="8" borderId="32" xfId="0" applyNumberFormat="1" applyFont="1" applyFill="1" applyBorder="1" applyAlignment="1" applyProtection="1">
      <alignment horizontal="center" vertical="center"/>
      <protection locked="0"/>
    </xf>
    <xf numFmtId="165" fontId="5" fillId="8" borderId="33" xfId="0" applyNumberFormat="1" applyFont="1" applyFill="1" applyBorder="1" applyAlignment="1" applyProtection="1">
      <alignment horizontal="center" vertical="center"/>
      <protection locked="0"/>
    </xf>
    <xf numFmtId="0" fontId="2" fillId="5" borderId="31" xfId="0" applyFont="1" applyFill="1" applyBorder="1" applyAlignment="1" applyProtection="1">
      <alignment horizontal="center" vertical="center"/>
      <protection locked="0"/>
    </xf>
    <xf numFmtId="0" fontId="2" fillId="5" borderId="33" xfId="0" applyFont="1" applyFill="1" applyBorder="1" applyAlignment="1" applyProtection="1">
      <alignment horizontal="center" vertical="center"/>
      <protection locked="0"/>
    </xf>
    <xf numFmtId="0" fontId="2" fillId="5" borderId="2" xfId="0" applyFont="1" applyFill="1" applyBorder="1" applyAlignment="1" applyProtection="1">
      <alignment horizontal="center" vertical="center"/>
      <protection locked="0"/>
    </xf>
    <xf numFmtId="0" fontId="2" fillId="5" borderId="15" xfId="0" applyFont="1" applyFill="1" applyBorder="1" applyAlignment="1" applyProtection="1">
      <alignment horizontal="center" vertical="center"/>
      <protection locked="0"/>
    </xf>
    <xf numFmtId="0" fontId="2" fillId="5" borderId="16" xfId="0" applyFont="1" applyFill="1" applyBorder="1" applyAlignment="1" applyProtection="1">
      <alignment horizontal="center" vertical="center"/>
      <protection locked="0"/>
    </xf>
    <xf numFmtId="0" fontId="17" fillId="9" borderId="44" xfId="0" applyFont="1" applyFill="1" applyBorder="1" applyAlignment="1" applyProtection="1">
      <alignment horizontal="center" vertical="center"/>
      <protection locked="0"/>
    </xf>
    <xf numFmtId="0" fontId="17" fillId="9" borderId="45" xfId="0" applyFont="1" applyFill="1" applyBorder="1" applyAlignment="1" applyProtection="1">
      <alignment horizontal="center" vertical="center"/>
      <protection locked="0"/>
    </xf>
    <xf numFmtId="0" fontId="17" fillId="9" borderId="46" xfId="0" applyFont="1" applyFill="1" applyBorder="1" applyAlignment="1" applyProtection="1">
      <alignment horizontal="center" vertical="center"/>
      <protection locked="0"/>
    </xf>
    <xf numFmtId="0" fontId="2" fillId="5" borderId="14" xfId="0" applyFont="1" applyFill="1" applyBorder="1" applyAlignment="1" applyProtection="1">
      <alignment horizontal="center" vertical="center"/>
      <protection locked="0"/>
    </xf>
    <xf numFmtId="3" fontId="23" fillId="5" borderId="27" xfId="0" applyNumberFormat="1" applyFont="1" applyFill="1" applyBorder="1" applyAlignment="1" applyProtection="1">
      <alignment vertical="center"/>
      <protection hidden="1"/>
    </xf>
    <xf numFmtId="3" fontId="23" fillId="8" borderId="23" xfId="0" applyNumberFormat="1" applyFont="1" applyFill="1" applyBorder="1" applyAlignment="1" applyProtection="1">
      <alignment horizontal="right" vertical="center"/>
      <protection hidden="1"/>
    </xf>
  </cellXfs>
  <cellStyles count="2">
    <cellStyle name="Millares" xfId="1" builtinId="3"/>
    <cellStyle name="Normal" xfId="0" builtinId="0"/>
  </cellStyles>
  <dxfs count="0"/>
  <tableStyles count="0" defaultTableStyle="TableStyleMedium9" defaultPivotStyle="PivotStyleMedium4"/>
  <colors>
    <indexedColors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enableFormatConditionsCalculation="0">
    <pageSetUpPr fitToPage="1"/>
  </sheetPr>
  <dimension ref="A1:T773"/>
  <sheetViews>
    <sheetView tabSelected="1" workbookViewId="0"/>
  </sheetViews>
  <sheetFormatPr baseColWidth="10" defaultColWidth="11.42578125" defaultRowHeight="12.75" x14ac:dyDescent="0.2"/>
  <cols>
    <col min="1" max="1" width="5" style="46" customWidth="1"/>
    <col min="2" max="2" width="3.28515625" style="44" customWidth="1"/>
    <col min="3" max="3" width="6" style="58" customWidth="1"/>
    <col min="4" max="4" width="63.140625" style="21" customWidth="1"/>
    <col min="5" max="5" width="11.85546875" style="22" customWidth="1"/>
    <col min="6" max="6" width="11.85546875" style="21" customWidth="1"/>
    <col min="7" max="7" width="14.140625" style="21" customWidth="1"/>
    <col min="8" max="8" width="11.85546875" style="21" customWidth="1"/>
    <col min="9" max="10" width="11.85546875" style="59" customWidth="1"/>
    <col min="11" max="12" width="3.28515625" style="46" customWidth="1"/>
    <col min="13" max="16" width="10.85546875" style="46" customWidth="1"/>
    <col min="17" max="17" width="3.28515625" style="46" customWidth="1"/>
    <col min="18" max="18" width="5" style="46" customWidth="1"/>
    <col min="19" max="16384" width="11.42578125" style="46"/>
  </cols>
  <sheetData>
    <row r="1" spans="1:18" ht="23.1" customHeight="1" thickBot="1" x14ac:dyDescent="0.25">
      <c r="A1" s="276"/>
      <c r="B1" s="281"/>
      <c r="C1" s="284"/>
      <c r="D1" s="285"/>
      <c r="E1" s="286"/>
      <c r="F1" s="285"/>
      <c r="G1" s="285"/>
      <c r="H1" s="285"/>
      <c r="I1" s="287"/>
      <c r="J1" s="287"/>
      <c r="K1" s="276"/>
      <c r="L1" s="276"/>
      <c r="M1" s="276"/>
      <c r="N1" s="276"/>
      <c r="O1" s="276"/>
      <c r="P1" s="276"/>
      <c r="Q1" s="276"/>
      <c r="R1" s="276"/>
    </row>
    <row r="2" spans="1:18" ht="17.100000000000001" customHeight="1" thickTop="1" thickBot="1" x14ac:dyDescent="0.25">
      <c r="A2" s="276"/>
      <c r="B2" s="183"/>
      <c r="C2" s="184"/>
      <c r="D2" s="185"/>
      <c r="E2" s="186"/>
      <c r="F2" s="185"/>
      <c r="G2" s="185"/>
      <c r="H2" s="185"/>
      <c r="I2" s="187"/>
      <c r="J2" s="187"/>
      <c r="K2" s="188"/>
      <c r="L2" s="183"/>
      <c r="M2" s="217"/>
      <c r="N2" s="217"/>
      <c r="O2" s="217"/>
      <c r="P2" s="217"/>
      <c r="Q2" s="188"/>
      <c r="R2" s="276"/>
    </row>
    <row r="3" spans="1:18" s="41" customFormat="1" ht="15.95" customHeight="1" x14ac:dyDescent="0.2">
      <c r="A3" s="277"/>
      <c r="B3" s="189"/>
      <c r="C3" s="483" t="s">
        <v>157</v>
      </c>
      <c r="D3" s="504" t="s">
        <v>344</v>
      </c>
      <c r="E3" s="152" t="s">
        <v>141</v>
      </c>
      <c r="F3" s="135">
        <v>2</v>
      </c>
      <c r="G3" s="127" t="s">
        <v>55</v>
      </c>
      <c r="H3" s="135">
        <v>0</v>
      </c>
      <c r="I3" s="129" t="s">
        <v>242</v>
      </c>
      <c r="J3" s="148">
        <v>65</v>
      </c>
      <c r="K3" s="190"/>
      <c r="L3" s="189"/>
      <c r="M3" s="487" t="s">
        <v>7</v>
      </c>
      <c r="N3" s="488"/>
      <c r="O3" s="488"/>
      <c r="P3" s="489"/>
      <c r="Q3" s="190"/>
      <c r="R3" s="277"/>
    </row>
    <row r="4" spans="1:18" s="41" customFormat="1" ht="15.95" customHeight="1" x14ac:dyDescent="0.2">
      <c r="A4" s="277"/>
      <c r="B4" s="189"/>
      <c r="C4" s="483"/>
      <c r="D4" s="505"/>
      <c r="E4" s="14" t="s">
        <v>86</v>
      </c>
      <c r="F4" s="136">
        <v>3</v>
      </c>
      <c r="G4" s="128" t="s">
        <v>54</v>
      </c>
      <c r="H4" s="136">
        <v>0</v>
      </c>
      <c r="I4" s="130" t="s">
        <v>140</v>
      </c>
      <c r="J4" s="153"/>
      <c r="K4" s="190"/>
      <c r="L4" s="189"/>
      <c r="M4" s="490"/>
      <c r="N4" s="491"/>
      <c r="O4" s="491"/>
      <c r="P4" s="492"/>
      <c r="Q4" s="190"/>
      <c r="R4" s="277"/>
    </row>
    <row r="5" spans="1:18" s="41" customFormat="1" ht="15.95" customHeight="1" thickBot="1" x14ac:dyDescent="0.25">
      <c r="A5" s="277"/>
      <c r="B5" s="189"/>
      <c r="C5" s="483"/>
      <c r="D5" s="506"/>
      <c r="E5" s="76" t="s">
        <v>14</v>
      </c>
      <c r="F5" s="136">
        <v>1</v>
      </c>
      <c r="G5" s="117" t="s">
        <v>105</v>
      </c>
      <c r="H5" s="136">
        <f>5*3</f>
        <v>15</v>
      </c>
      <c r="I5" s="443" t="s">
        <v>343</v>
      </c>
      <c r="J5" s="444">
        <v>13</v>
      </c>
      <c r="K5" s="190"/>
      <c r="L5" s="189"/>
      <c r="M5" s="493"/>
      <c r="N5" s="494"/>
      <c r="O5" s="494"/>
      <c r="P5" s="495"/>
      <c r="Q5" s="190"/>
      <c r="R5" s="277"/>
    </row>
    <row r="6" spans="1:18" s="43" customFormat="1" ht="20.100000000000001" customHeight="1" thickBot="1" x14ac:dyDescent="0.25">
      <c r="A6" s="278"/>
      <c r="B6" s="191"/>
      <c r="C6" s="182"/>
      <c r="D6" s="318" t="s">
        <v>87</v>
      </c>
      <c r="E6" s="319"/>
      <c r="F6" s="319"/>
      <c r="G6" s="320"/>
      <c r="H6" s="316" t="s">
        <v>58</v>
      </c>
      <c r="I6" s="307" t="s">
        <v>61</v>
      </c>
      <c r="J6" s="308" t="s">
        <v>139</v>
      </c>
      <c r="K6" s="192"/>
      <c r="L6" s="191"/>
      <c r="M6" s="311" t="s">
        <v>97</v>
      </c>
      <c r="N6" s="312" t="s">
        <v>26</v>
      </c>
      <c r="O6" s="312" t="s">
        <v>60</v>
      </c>
      <c r="P6" s="316" t="s">
        <v>58</v>
      </c>
      <c r="Q6" s="192"/>
      <c r="R6" s="278"/>
    </row>
    <row r="7" spans="1:18" ht="9" customHeight="1" x14ac:dyDescent="0.2">
      <c r="A7" s="276"/>
      <c r="B7" s="189"/>
      <c r="C7" s="64"/>
      <c r="D7" s="44"/>
      <c r="E7" s="4"/>
      <c r="F7" s="5"/>
      <c r="G7" s="5"/>
      <c r="H7" s="178"/>
      <c r="I7" s="179"/>
      <c r="J7" s="179"/>
      <c r="K7" s="190"/>
      <c r="L7" s="189"/>
      <c r="M7" s="45"/>
      <c r="N7" s="45"/>
      <c r="O7" s="45"/>
      <c r="P7" s="178"/>
      <c r="Q7" s="190"/>
      <c r="R7" s="276"/>
    </row>
    <row r="8" spans="1:18" s="47" customFormat="1" ht="20.100000000000001" customHeight="1" x14ac:dyDescent="0.2">
      <c r="A8" s="279"/>
      <c r="B8" s="193"/>
      <c r="C8" s="301">
        <v>1</v>
      </c>
      <c r="D8" s="302" t="str">
        <f>D69</f>
        <v>LIBRO / ARGUMENTO / GUION</v>
      </c>
      <c r="E8" s="303"/>
      <c r="F8" s="304"/>
      <c r="G8" s="304"/>
      <c r="H8" s="317">
        <f>H76</f>
        <v>325000</v>
      </c>
      <c r="I8" s="309">
        <f>I76</f>
        <v>68250</v>
      </c>
      <c r="J8" s="310">
        <f>SUM(H8:I8)</f>
        <v>393250</v>
      </c>
      <c r="K8" s="194"/>
      <c r="L8" s="193"/>
      <c r="M8" s="313">
        <v>100000</v>
      </c>
      <c r="N8" s="314">
        <v>225000</v>
      </c>
      <c r="O8" s="315">
        <f>O76</f>
        <v>0</v>
      </c>
      <c r="P8" s="317">
        <f>SUM(M8:O8)</f>
        <v>325000</v>
      </c>
      <c r="Q8" s="194"/>
      <c r="R8" s="279"/>
    </row>
    <row r="9" spans="1:18" ht="9" customHeight="1" x14ac:dyDescent="0.2">
      <c r="A9" s="276"/>
      <c r="B9" s="195"/>
      <c r="C9" s="69"/>
      <c r="D9" s="70"/>
      <c r="E9" s="71"/>
      <c r="F9" s="72"/>
      <c r="G9" s="72"/>
      <c r="H9" s="137"/>
      <c r="I9" s="138"/>
      <c r="J9" s="138"/>
      <c r="K9" s="196"/>
      <c r="L9" s="195"/>
      <c r="M9" s="180"/>
      <c r="N9" s="180"/>
      <c r="O9" s="180"/>
      <c r="P9" s="137"/>
      <c r="Q9" s="196"/>
      <c r="R9" s="276"/>
    </row>
    <row r="10" spans="1:18" s="47" customFormat="1" ht="20.100000000000001" customHeight="1" x14ac:dyDescent="0.2">
      <c r="A10" s="279"/>
      <c r="B10" s="193"/>
      <c r="C10" s="301">
        <v>2</v>
      </c>
      <c r="D10" s="302" t="str">
        <f>D78</f>
        <v>DIRECCION</v>
      </c>
      <c r="E10" s="303"/>
      <c r="F10" s="304"/>
      <c r="G10" s="304"/>
      <c r="H10" s="317">
        <f>+H82</f>
        <v>490000</v>
      </c>
      <c r="I10" s="309">
        <f>I82</f>
        <v>102900</v>
      </c>
      <c r="J10" s="310">
        <f>+J82</f>
        <v>592900</v>
      </c>
      <c r="K10" s="194"/>
      <c r="L10" s="193"/>
      <c r="M10" s="313">
        <v>140000</v>
      </c>
      <c r="N10" s="314">
        <v>210000</v>
      </c>
      <c r="O10" s="315">
        <v>140000</v>
      </c>
      <c r="P10" s="317">
        <f>SUM(M10:O10)</f>
        <v>490000</v>
      </c>
      <c r="Q10" s="194"/>
      <c r="R10" s="279"/>
    </row>
    <row r="11" spans="1:18" ht="9" customHeight="1" x14ac:dyDescent="0.2">
      <c r="A11" s="276"/>
      <c r="B11" s="195"/>
      <c r="C11" s="69"/>
      <c r="D11" s="70"/>
      <c r="E11" s="71"/>
      <c r="F11" s="72"/>
      <c r="G11" s="72"/>
      <c r="H11" s="137"/>
      <c r="I11" s="138"/>
      <c r="J11" s="138"/>
      <c r="K11" s="196"/>
      <c r="L11" s="195"/>
      <c r="M11" s="48"/>
      <c r="N11" s="48"/>
      <c r="O11" s="48"/>
      <c r="P11" s="137"/>
      <c r="Q11" s="196"/>
      <c r="R11" s="276"/>
    </row>
    <row r="12" spans="1:18" s="47" customFormat="1" ht="20.100000000000001" customHeight="1" x14ac:dyDescent="0.2">
      <c r="A12" s="279"/>
      <c r="B12" s="193"/>
      <c r="C12" s="301">
        <v>3</v>
      </c>
      <c r="D12" s="302" t="str">
        <f>D84</f>
        <v>PRODUCCION</v>
      </c>
      <c r="E12" s="303"/>
      <c r="F12" s="304"/>
      <c r="G12" s="304"/>
      <c r="H12" s="317">
        <f>H89</f>
        <v>420000</v>
      </c>
      <c r="I12" s="309">
        <f>I89</f>
        <v>88200</v>
      </c>
      <c r="J12" s="310">
        <f>J89</f>
        <v>508200</v>
      </c>
      <c r="K12" s="194"/>
      <c r="L12" s="193"/>
      <c r="M12" s="313">
        <f>M89</f>
        <v>126000</v>
      </c>
      <c r="N12" s="314">
        <f>N89</f>
        <v>168000</v>
      </c>
      <c r="O12" s="315">
        <f>O89</f>
        <v>126000</v>
      </c>
      <c r="P12" s="317">
        <f>P89</f>
        <v>420000</v>
      </c>
      <c r="Q12" s="194"/>
      <c r="R12" s="279"/>
    </row>
    <row r="13" spans="1:18" ht="9" customHeight="1" x14ac:dyDescent="0.2">
      <c r="A13" s="276"/>
      <c r="B13" s="195"/>
      <c r="C13" s="69"/>
      <c r="D13" s="70"/>
      <c r="E13" s="71"/>
      <c r="F13" s="72"/>
      <c r="G13" s="72"/>
      <c r="H13" s="137"/>
      <c r="I13" s="138"/>
      <c r="J13" s="138"/>
      <c r="K13" s="196"/>
      <c r="L13" s="195"/>
      <c r="M13" s="180"/>
      <c r="N13" s="180"/>
      <c r="O13" s="180"/>
      <c r="P13" s="137"/>
      <c r="Q13" s="196"/>
      <c r="R13" s="276"/>
    </row>
    <row r="14" spans="1:18" s="47" customFormat="1" ht="17.100000000000001" customHeight="1" x14ac:dyDescent="0.2">
      <c r="A14" s="279"/>
      <c r="B14" s="193"/>
      <c r="C14" s="301">
        <v>4</v>
      </c>
      <c r="D14" s="302" t="str">
        <f>D91</f>
        <v>EQUIPO TECNICO</v>
      </c>
      <c r="E14" s="303"/>
      <c r="F14" s="304"/>
      <c r="G14" s="304"/>
      <c r="H14" s="317">
        <f>+H513</f>
        <v>5963915.8479483342</v>
      </c>
      <c r="I14" s="309">
        <f>I496</f>
        <v>0</v>
      </c>
      <c r="J14" s="310">
        <f>+H14</f>
        <v>5963915.8479483342</v>
      </c>
      <c r="K14" s="194"/>
      <c r="L14" s="193"/>
      <c r="M14" s="313">
        <v>955646</v>
      </c>
      <c r="N14" s="314">
        <v>4585970</v>
      </c>
      <c r="O14" s="315">
        <v>422300</v>
      </c>
      <c r="P14" s="317">
        <f>SUM(M14:O14)</f>
        <v>5963916</v>
      </c>
      <c r="Q14" s="194"/>
      <c r="R14" s="279"/>
    </row>
    <row r="15" spans="1:18" ht="9" customHeight="1" x14ac:dyDescent="0.2">
      <c r="A15" s="276"/>
      <c r="B15" s="195"/>
      <c r="C15" s="69"/>
      <c r="D15" s="70"/>
      <c r="E15" s="71"/>
      <c r="F15" s="72"/>
      <c r="G15" s="72"/>
      <c r="H15" s="137"/>
      <c r="I15" s="138"/>
      <c r="J15" s="138"/>
      <c r="K15" s="196"/>
      <c r="L15" s="195"/>
      <c r="M15" s="48"/>
      <c r="N15" s="48"/>
      <c r="O15" s="48"/>
      <c r="P15" s="137"/>
      <c r="Q15" s="196"/>
      <c r="R15" s="276"/>
    </row>
    <row r="16" spans="1:18" s="47" customFormat="1" ht="17.100000000000001" customHeight="1" x14ac:dyDescent="0.2">
      <c r="A16" s="279"/>
      <c r="B16" s="193"/>
      <c r="C16" s="301">
        <v>5</v>
      </c>
      <c r="D16" s="302" t="str">
        <f>D515</f>
        <v>ELENCO (Jornada de 10 hs) (INCLUYE 30% AUMENTO 2016)</v>
      </c>
      <c r="E16" s="303"/>
      <c r="F16" s="304"/>
      <c r="G16" s="304"/>
      <c r="H16" s="317">
        <f>H542</f>
        <v>3372155</v>
      </c>
      <c r="I16" s="309">
        <f>I542</f>
        <v>0</v>
      </c>
      <c r="J16" s="310">
        <f>J542</f>
        <v>3372155</v>
      </c>
      <c r="K16" s="194"/>
      <c r="L16" s="193"/>
      <c r="M16" s="313">
        <f>M542</f>
        <v>0</v>
      </c>
      <c r="N16" s="314">
        <f>N542</f>
        <v>3372155</v>
      </c>
      <c r="O16" s="315">
        <f>O542</f>
        <v>0</v>
      </c>
      <c r="P16" s="317">
        <f>P542</f>
        <v>3372155</v>
      </c>
      <c r="Q16" s="194"/>
      <c r="R16" s="279"/>
    </row>
    <row r="17" spans="1:18" ht="9" customHeight="1" x14ac:dyDescent="0.2">
      <c r="A17" s="276"/>
      <c r="B17" s="195"/>
      <c r="C17" s="69"/>
      <c r="D17" s="70"/>
      <c r="E17" s="71"/>
      <c r="F17" s="72"/>
      <c r="G17" s="72"/>
      <c r="H17" s="137"/>
      <c r="I17" s="138"/>
      <c r="J17" s="138"/>
      <c r="K17" s="196"/>
      <c r="L17" s="195"/>
      <c r="M17" s="180"/>
      <c r="N17" s="180"/>
      <c r="O17" s="180"/>
      <c r="P17" s="137"/>
      <c r="Q17" s="196"/>
      <c r="R17" s="276"/>
    </row>
    <row r="18" spans="1:18" s="47" customFormat="1" ht="17.100000000000001" customHeight="1" x14ac:dyDescent="0.2">
      <c r="A18" s="279"/>
      <c r="B18" s="193"/>
      <c r="C18" s="301">
        <v>6</v>
      </c>
      <c r="D18" s="302" t="str">
        <f>D544</f>
        <v>CARGAS SOCIALES</v>
      </c>
      <c r="E18" s="303"/>
      <c r="F18" s="304"/>
      <c r="G18" s="304"/>
      <c r="H18" s="317">
        <f>H549</f>
        <v>2628312.8074255334</v>
      </c>
      <c r="I18" s="309">
        <f>I549</f>
        <v>0</v>
      </c>
      <c r="J18" s="310">
        <f>J549</f>
        <v>2628312.8074255334</v>
      </c>
      <c r="K18" s="194"/>
      <c r="L18" s="193"/>
      <c r="M18" s="313">
        <f>M549</f>
        <v>116911.20000000001</v>
      </c>
      <c r="N18" s="314">
        <f>N549</f>
        <v>2046385.4500000002</v>
      </c>
      <c r="O18" s="315">
        <f>O549</f>
        <v>465015.83742553368</v>
      </c>
      <c r="P18" s="317">
        <f>P549</f>
        <v>2628312.4874255341</v>
      </c>
      <c r="Q18" s="194"/>
      <c r="R18" s="279"/>
    </row>
    <row r="19" spans="1:18" ht="9" customHeight="1" x14ac:dyDescent="0.2">
      <c r="A19" s="276"/>
      <c r="B19" s="195"/>
      <c r="C19" s="69"/>
      <c r="D19" s="70"/>
      <c r="E19" s="71"/>
      <c r="F19" s="72"/>
      <c r="G19" s="72"/>
      <c r="H19" s="137"/>
      <c r="I19" s="138"/>
      <c r="J19" s="138"/>
      <c r="K19" s="196"/>
      <c r="L19" s="195"/>
      <c r="M19" s="48"/>
      <c r="N19" s="48"/>
      <c r="O19" s="48"/>
      <c r="P19" s="137"/>
      <c r="Q19" s="196"/>
      <c r="R19" s="276"/>
    </row>
    <row r="20" spans="1:18" s="47" customFormat="1" ht="17.100000000000001" customHeight="1" x14ac:dyDescent="0.2">
      <c r="A20" s="279"/>
      <c r="B20" s="193"/>
      <c r="C20" s="301">
        <v>7</v>
      </c>
      <c r="D20" s="302" t="str">
        <f>D551</f>
        <v>VESTUARIO</v>
      </c>
      <c r="E20" s="303"/>
      <c r="F20" s="304"/>
      <c r="G20" s="304"/>
      <c r="H20" s="317">
        <f>H565</f>
        <v>80000</v>
      </c>
      <c r="I20" s="309">
        <f>I565</f>
        <v>16800</v>
      </c>
      <c r="J20" s="310">
        <f>J565</f>
        <v>96800</v>
      </c>
      <c r="K20" s="194"/>
      <c r="L20" s="193"/>
      <c r="M20" s="313">
        <f>M565</f>
        <v>56800</v>
      </c>
      <c r="N20" s="314">
        <f>N565</f>
        <v>18700</v>
      </c>
      <c r="O20" s="315">
        <f>O565</f>
        <v>4500</v>
      </c>
      <c r="P20" s="317">
        <f>P565</f>
        <v>80000</v>
      </c>
      <c r="Q20" s="194"/>
      <c r="R20" s="279"/>
    </row>
    <row r="21" spans="1:18" ht="9" customHeight="1" x14ac:dyDescent="0.2">
      <c r="A21" s="276"/>
      <c r="B21" s="195"/>
      <c r="C21" s="69"/>
      <c r="D21" s="70"/>
      <c r="E21" s="71"/>
      <c r="F21" s="72"/>
      <c r="G21" s="72"/>
      <c r="H21" s="137"/>
      <c r="I21" s="138"/>
      <c r="J21" s="138"/>
      <c r="K21" s="196"/>
      <c r="L21" s="195"/>
      <c r="M21" s="180"/>
      <c r="N21" s="180"/>
      <c r="O21" s="180"/>
      <c r="P21" s="137"/>
      <c r="Q21" s="196"/>
      <c r="R21" s="276"/>
    </row>
    <row r="22" spans="1:18" s="47" customFormat="1" ht="17.100000000000001" customHeight="1" x14ac:dyDescent="0.2">
      <c r="A22" s="279"/>
      <c r="B22" s="193"/>
      <c r="C22" s="301">
        <v>8</v>
      </c>
      <c r="D22" s="302" t="str">
        <f>D567</f>
        <v>MAQUILLAJE</v>
      </c>
      <c r="E22" s="303"/>
      <c r="F22" s="304"/>
      <c r="G22" s="304"/>
      <c r="H22" s="317">
        <f>H574</f>
        <v>34000</v>
      </c>
      <c r="I22" s="309">
        <f>I574</f>
        <v>7140</v>
      </c>
      <c r="J22" s="310">
        <f>J574</f>
        <v>41140</v>
      </c>
      <c r="K22" s="194"/>
      <c r="L22" s="193"/>
      <c r="M22" s="313">
        <f>M574</f>
        <v>16000</v>
      </c>
      <c r="N22" s="314">
        <f>N574</f>
        <v>18000</v>
      </c>
      <c r="O22" s="315">
        <f>O574</f>
        <v>0</v>
      </c>
      <c r="P22" s="317">
        <f>P574</f>
        <v>34000</v>
      </c>
      <c r="Q22" s="194"/>
      <c r="R22" s="279"/>
    </row>
    <row r="23" spans="1:18" ht="9" customHeight="1" x14ac:dyDescent="0.2">
      <c r="A23" s="276"/>
      <c r="B23" s="195"/>
      <c r="C23" s="69"/>
      <c r="D23" s="70"/>
      <c r="E23" s="71"/>
      <c r="F23" s="72"/>
      <c r="G23" s="72"/>
      <c r="H23" s="137"/>
      <c r="I23" s="138"/>
      <c r="J23" s="138"/>
      <c r="K23" s="196"/>
      <c r="L23" s="195"/>
      <c r="M23" s="48"/>
      <c r="N23" s="48"/>
      <c r="O23" s="48"/>
      <c r="P23" s="137"/>
      <c r="Q23" s="196"/>
      <c r="R23" s="276"/>
    </row>
    <row r="24" spans="1:18" s="47" customFormat="1" ht="17.100000000000001" customHeight="1" x14ac:dyDescent="0.2">
      <c r="A24" s="279"/>
      <c r="B24" s="193"/>
      <c r="C24" s="301">
        <v>9</v>
      </c>
      <c r="D24" s="302" t="str">
        <f>D576</f>
        <v>UTILERIA/AMBIENTACIÓN</v>
      </c>
      <c r="E24" s="303"/>
      <c r="F24" s="304"/>
      <c r="G24" s="304"/>
      <c r="H24" s="317">
        <f>H581</f>
        <v>416000</v>
      </c>
      <c r="I24" s="309">
        <f>I581</f>
        <v>81900</v>
      </c>
      <c r="J24" s="310">
        <f>J581</f>
        <v>497900</v>
      </c>
      <c r="K24" s="194"/>
      <c r="L24" s="193"/>
      <c r="M24" s="313">
        <f>M581</f>
        <v>293800</v>
      </c>
      <c r="N24" s="314">
        <f>N581</f>
        <v>122200</v>
      </c>
      <c r="O24" s="315">
        <f>O581</f>
        <v>0</v>
      </c>
      <c r="P24" s="317">
        <f>P581</f>
        <v>416000</v>
      </c>
      <c r="Q24" s="194"/>
      <c r="R24" s="279"/>
    </row>
    <row r="25" spans="1:18" ht="9" customHeight="1" x14ac:dyDescent="0.2">
      <c r="A25" s="276"/>
      <c r="B25" s="195"/>
      <c r="C25" s="69"/>
      <c r="D25" s="70"/>
      <c r="E25" s="71"/>
      <c r="F25" s="72"/>
      <c r="G25" s="72"/>
      <c r="H25" s="137"/>
      <c r="I25" s="138"/>
      <c r="J25" s="138"/>
      <c r="K25" s="196"/>
      <c r="L25" s="195"/>
      <c r="M25" s="180"/>
      <c r="N25" s="180"/>
      <c r="O25" s="180"/>
      <c r="P25" s="137"/>
      <c r="Q25" s="196"/>
      <c r="R25" s="276"/>
    </row>
    <row r="26" spans="1:18" s="47" customFormat="1" ht="17.100000000000001" customHeight="1" x14ac:dyDescent="0.2">
      <c r="A26" s="279"/>
      <c r="B26" s="193"/>
      <c r="C26" s="301">
        <v>10</v>
      </c>
      <c r="D26" s="302" t="str">
        <f>D583</f>
        <v>ESCENOGRAFIA</v>
      </c>
      <c r="E26" s="303"/>
      <c r="F26" s="304"/>
      <c r="G26" s="304"/>
      <c r="H26" s="317">
        <f>H586</f>
        <v>140000</v>
      </c>
      <c r="I26" s="309">
        <f>I586</f>
        <v>29400</v>
      </c>
      <c r="J26" s="310">
        <f>J586</f>
        <v>169400</v>
      </c>
      <c r="K26" s="194"/>
      <c r="L26" s="193"/>
      <c r="M26" s="313">
        <f>M586</f>
        <v>112000</v>
      </c>
      <c r="N26" s="314">
        <f>N586</f>
        <v>28000</v>
      </c>
      <c r="O26" s="315">
        <f>O586</f>
        <v>0</v>
      </c>
      <c r="P26" s="317">
        <f>P586</f>
        <v>140000</v>
      </c>
      <c r="Q26" s="194"/>
      <c r="R26" s="279"/>
    </row>
    <row r="27" spans="1:18" ht="9" customHeight="1" x14ac:dyDescent="0.2">
      <c r="A27" s="276"/>
      <c r="B27" s="195"/>
      <c r="C27" s="69"/>
      <c r="D27" s="70"/>
      <c r="E27" s="71"/>
      <c r="F27" s="72"/>
      <c r="G27" s="72"/>
      <c r="H27" s="137"/>
      <c r="I27" s="138"/>
      <c r="J27" s="138"/>
      <c r="K27" s="196"/>
      <c r="L27" s="195"/>
      <c r="M27" s="48"/>
      <c r="N27" s="48"/>
      <c r="O27" s="48"/>
      <c r="P27" s="137"/>
      <c r="Q27" s="196"/>
      <c r="R27" s="276"/>
    </row>
    <row r="28" spans="1:18" s="47" customFormat="1" ht="17.100000000000001" customHeight="1" x14ac:dyDescent="0.2">
      <c r="A28" s="279"/>
      <c r="B28" s="193"/>
      <c r="C28" s="301">
        <v>11</v>
      </c>
      <c r="D28" s="302" t="str">
        <f>D588</f>
        <v>LOCACIONES</v>
      </c>
      <c r="E28" s="303"/>
      <c r="F28" s="304"/>
      <c r="G28" s="304"/>
      <c r="H28" s="317">
        <f>H609</f>
        <v>678027.5</v>
      </c>
      <c r="I28" s="309">
        <f>I609</f>
        <v>3360</v>
      </c>
      <c r="J28" s="310">
        <f>J609</f>
        <v>681387.5</v>
      </c>
      <c r="K28" s="194"/>
      <c r="L28" s="193"/>
      <c r="M28" s="313">
        <f>M609</f>
        <v>264074.25</v>
      </c>
      <c r="N28" s="314">
        <f>N609</f>
        <v>413953.25</v>
      </c>
      <c r="O28" s="315">
        <f>O609</f>
        <v>0</v>
      </c>
      <c r="P28" s="317">
        <f>P609</f>
        <v>678027.5</v>
      </c>
      <c r="Q28" s="194"/>
      <c r="R28" s="279"/>
    </row>
    <row r="29" spans="1:18" ht="9" customHeight="1" x14ac:dyDescent="0.2">
      <c r="A29" s="276"/>
      <c r="B29" s="195"/>
      <c r="C29" s="69"/>
      <c r="D29" s="70"/>
      <c r="E29" s="71"/>
      <c r="F29" s="72"/>
      <c r="G29" s="72"/>
      <c r="H29" s="137"/>
      <c r="I29" s="138"/>
      <c r="J29" s="138"/>
      <c r="K29" s="196"/>
      <c r="L29" s="195"/>
      <c r="M29" s="180"/>
      <c r="N29" s="180"/>
      <c r="O29" s="180"/>
      <c r="P29" s="137"/>
      <c r="Q29" s="196"/>
      <c r="R29" s="276"/>
    </row>
    <row r="30" spans="1:18" s="47" customFormat="1" ht="17.100000000000001" customHeight="1" x14ac:dyDescent="0.2">
      <c r="A30" s="279"/>
      <c r="B30" s="193"/>
      <c r="C30" s="301">
        <v>12</v>
      </c>
      <c r="D30" s="302" t="str">
        <f>D611</f>
        <v>MATERIAL DE ARCHIVO</v>
      </c>
      <c r="E30" s="303"/>
      <c r="F30" s="304"/>
      <c r="G30" s="304"/>
      <c r="H30" s="317">
        <f>H614</f>
        <v>10000</v>
      </c>
      <c r="I30" s="309">
        <f>I614</f>
        <v>2100</v>
      </c>
      <c r="J30" s="310">
        <f>J614</f>
        <v>10000</v>
      </c>
      <c r="K30" s="194"/>
      <c r="L30" s="193"/>
      <c r="M30" s="313">
        <f>M614</f>
        <v>0</v>
      </c>
      <c r="N30" s="314">
        <f>N614</f>
        <v>10000</v>
      </c>
      <c r="O30" s="315">
        <f>O614</f>
        <v>0</v>
      </c>
      <c r="P30" s="317">
        <f>P614</f>
        <v>10000</v>
      </c>
      <c r="Q30" s="194"/>
      <c r="R30" s="279"/>
    </row>
    <row r="31" spans="1:18" ht="9" customHeight="1" x14ac:dyDescent="0.2">
      <c r="A31" s="276"/>
      <c r="B31" s="195"/>
      <c r="C31" s="69"/>
      <c r="D31" s="70"/>
      <c r="E31" s="71"/>
      <c r="F31" s="72"/>
      <c r="G31" s="72"/>
      <c r="H31" s="137"/>
      <c r="I31" s="138"/>
      <c r="J31" s="138"/>
      <c r="K31" s="196"/>
      <c r="L31" s="195"/>
      <c r="M31" s="48"/>
      <c r="N31" s="48"/>
      <c r="O31" s="48"/>
      <c r="P31" s="137"/>
      <c r="Q31" s="196"/>
      <c r="R31" s="276"/>
    </row>
    <row r="32" spans="1:18" s="47" customFormat="1" ht="17.100000000000001" customHeight="1" x14ac:dyDescent="0.2">
      <c r="A32" s="279"/>
      <c r="B32" s="193"/>
      <c r="C32" s="301">
        <v>13</v>
      </c>
      <c r="D32" s="302" t="str">
        <f>D616</f>
        <v>MUSICA</v>
      </c>
      <c r="E32" s="303"/>
      <c r="F32" s="304"/>
      <c r="G32" s="304"/>
      <c r="H32" s="317">
        <f>H620</f>
        <v>77000</v>
      </c>
      <c r="I32" s="309">
        <f>I620</f>
        <v>0</v>
      </c>
      <c r="J32" s="310">
        <f>J620</f>
        <v>77000</v>
      </c>
      <c r="K32" s="194"/>
      <c r="L32" s="193"/>
      <c r="M32" s="313">
        <f>M620</f>
        <v>0</v>
      </c>
      <c r="N32" s="314">
        <f>N620</f>
        <v>0</v>
      </c>
      <c r="O32" s="315">
        <f>O620</f>
        <v>77000</v>
      </c>
      <c r="P32" s="317">
        <f>P620</f>
        <v>77000</v>
      </c>
      <c r="Q32" s="194"/>
      <c r="R32" s="279"/>
    </row>
    <row r="33" spans="1:18" ht="9" customHeight="1" x14ac:dyDescent="0.2">
      <c r="A33" s="276"/>
      <c r="B33" s="195"/>
      <c r="C33" s="69"/>
      <c r="D33" s="70"/>
      <c r="E33" s="71"/>
      <c r="F33" s="72"/>
      <c r="G33" s="72"/>
      <c r="H33" s="137"/>
      <c r="I33" s="138"/>
      <c r="J33" s="138"/>
      <c r="K33" s="196"/>
      <c r="L33" s="195"/>
      <c r="M33" s="180"/>
      <c r="N33" s="180"/>
      <c r="O33" s="180"/>
      <c r="P33" s="137"/>
      <c r="Q33" s="196"/>
      <c r="R33" s="276"/>
    </row>
    <row r="34" spans="1:18" s="47" customFormat="1" ht="17.100000000000001" customHeight="1" x14ac:dyDescent="0.2">
      <c r="A34" s="279"/>
      <c r="B34" s="193"/>
      <c r="C34" s="301">
        <v>14</v>
      </c>
      <c r="D34" s="302" t="str">
        <f>D622</f>
        <v>MATERIAL VIRGEN</v>
      </c>
      <c r="E34" s="303"/>
      <c r="F34" s="304"/>
      <c r="G34" s="304"/>
      <c r="H34" s="317">
        <f>H627</f>
        <v>18500</v>
      </c>
      <c r="I34" s="309">
        <f>I627</f>
        <v>3885</v>
      </c>
      <c r="J34" s="310">
        <f>J627</f>
        <v>22385</v>
      </c>
      <c r="K34" s="194"/>
      <c r="L34" s="193"/>
      <c r="M34" s="313">
        <f>M627</f>
        <v>11500</v>
      </c>
      <c r="N34" s="314">
        <f>N627</f>
        <v>0</v>
      </c>
      <c r="O34" s="315">
        <f>O627</f>
        <v>7000</v>
      </c>
      <c r="P34" s="317">
        <f>P627</f>
        <v>18500</v>
      </c>
      <c r="Q34" s="194"/>
      <c r="R34" s="279"/>
    </row>
    <row r="35" spans="1:18" ht="9" customHeight="1" x14ac:dyDescent="0.2">
      <c r="A35" s="276"/>
      <c r="B35" s="195"/>
      <c r="C35" s="69"/>
      <c r="D35" s="70"/>
      <c r="E35" s="71"/>
      <c r="F35" s="72"/>
      <c r="G35" s="72"/>
      <c r="H35" s="137"/>
      <c r="I35" s="138"/>
      <c r="J35" s="138"/>
      <c r="K35" s="196"/>
      <c r="L35" s="195"/>
      <c r="M35" s="48"/>
      <c r="N35" s="48"/>
      <c r="O35" s="48"/>
      <c r="P35" s="137"/>
      <c r="Q35" s="196"/>
      <c r="R35" s="276"/>
    </row>
    <row r="36" spans="1:18" s="47" customFormat="1" ht="17.100000000000001" customHeight="1" x14ac:dyDescent="0.2">
      <c r="A36" s="279"/>
      <c r="B36" s="193"/>
      <c r="C36" s="301">
        <v>15</v>
      </c>
      <c r="D36" s="302" t="str">
        <f>D629</f>
        <v>PROCESO DE POSTPRODUCCIÓN</v>
      </c>
      <c r="E36" s="303"/>
      <c r="F36" s="304"/>
      <c r="G36" s="304"/>
      <c r="H36" s="317">
        <f>H636</f>
        <v>317200</v>
      </c>
      <c r="I36" s="309">
        <f>I636</f>
        <v>66612</v>
      </c>
      <c r="J36" s="310">
        <f>J636</f>
        <v>383812</v>
      </c>
      <c r="K36" s="194"/>
      <c r="L36" s="193"/>
      <c r="M36" s="313">
        <f>M636</f>
        <v>0</v>
      </c>
      <c r="N36" s="314">
        <f>N636</f>
        <v>0</v>
      </c>
      <c r="O36" s="315">
        <f>O636</f>
        <v>317200</v>
      </c>
      <c r="P36" s="317">
        <f>P636</f>
        <v>317200</v>
      </c>
      <c r="Q36" s="194"/>
      <c r="R36" s="279"/>
    </row>
    <row r="37" spans="1:18" ht="9" customHeight="1" x14ac:dyDescent="0.2">
      <c r="A37" s="276"/>
      <c r="B37" s="195"/>
      <c r="C37" s="69"/>
      <c r="D37" s="70"/>
      <c r="E37" s="71"/>
      <c r="F37" s="72"/>
      <c r="G37" s="72"/>
      <c r="H37" s="137"/>
      <c r="I37" s="138"/>
      <c r="J37" s="138"/>
      <c r="K37" s="196"/>
      <c r="L37" s="195"/>
      <c r="M37" s="48"/>
      <c r="N37" s="48"/>
      <c r="O37" s="48"/>
      <c r="P37" s="137"/>
      <c r="Q37" s="196"/>
      <c r="R37" s="276"/>
    </row>
    <row r="38" spans="1:18" s="47" customFormat="1" ht="17.100000000000001" customHeight="1" x14ac:dyDescent="0.2">
      <c r="A38" s="279"/>
      <c r="B38" s="193"/>
      <c r="C38" s="301">
        <v>16</v>
      </c>
      <c r="D38" s="302" t="str">
        <f>D638</f>
        <v>PROCESOS DE SONIDO</v>
      </c>
      <c r="E38" s="303"/>
      <c r="F38" s="304"/>
      <c r="G38" s="304"/>
      <c r="H38" s="317">
        <f>H643</f>
        <v>105300</v>
      </c>
      <c r="I38" s="309">
        <f>I643</f>
        <v>22113</v>
      </c>
      <c r="J38" s="310">
        <f>J643</f>
        <v>127413</v>
      </c>
      <c r="K38" s="194"/>
      <c r="L38" s="193"/>
      <c r="M38" s="313">
        <f>M643</f>
        <v>0</v>
      </c>
      <c r="N38" s="314">
        <f>N643</f>
        <v>31590</v>
      </c>
      <c r="O38" s="315">
        <f>O643</f>
        <v>73710</v>
      </c>
      <c r="P38" s="317">
        <f>P643</f>
        <v>105300</v>
      </c>
      <c r="Q38" s="194"/>
      <c r="R38" s="279"/>
    </row>
    <row r="39" spans="1:18" ht="9" customHeight="1" x14ac:dyDescent="0.2">
      <c r="A39" s="276"/>
      <c r="B39" s="195"/>
      <c r="C39" s="69"/>
      <c r="D39" s="70"/>
      <c r="E39" s="71"/>
      <c r="F39" s="72"/>
      <c r="G39" s="72"/>
      <c r="H39" s="137"/>
      <c r="I39" s="138"/>
      <c r="J39" s="138"/>
      <c r="K39" s="196"/>
      <c r="L39" s="195"/>
      <c r="M39" s="180"/>
      <c r="N39" s="180"/>
      <c r="O39" s="180"/>
      <c r="P39" s="137"/>
      <c r="Q39" s="196"/>
      <c r="R39" s="276"/>
    </row>
    <row r="40" spans="1:18" s="47" customFormat="1" ht="17.100000000000001" customHeight="1" x14ac:dyDescent="0.2">
      <c r="A40" s="279"/>
      <c r="B40" s="193"/>
      <c r="C40" s="301">
        <v>17</v>
      </c>
      <c r="D40" s="302" t="str">
        <f>D645</f>
        <v>EQUIPOS DE CAMARAS/LUCES/SONIDO</v>
      </c>
      <c r="E40" s="303"/>
      <c r="F40" s="304"/>
      <c r="G40" s="304"/>
      <c r="H40" s="317">
        <f>H679</f>
        <v>1306800</v>
      </c>
      <c r="I40" s="309">
        <f>I679</f>
        <v>274428</v>
      </c>
      <c r="J40" s="310">
        <f>J679</f>
        <v>1581228</v>
      </c>
      <c r="K40" s="194"/>
      <c r="L40" s="193"/>
      <c r="M40" s="313">
        <f>M679</f>
        <v>174800</v>
      </c>
      <c r="N40" s="314">
        <f>N679</f>
        <v>1117000</v>
      </c>
      <c r="O40" s="315">
        <f>O679</f>
        <v>15000</v>
      </c>
      <c r="P40" s="317">
        <f>P679</f>
        <v>1306800</v>
      </c>
      <c r="Q40" s="194"/>
      <c r="R40" s="279"/>
    </row>
    <row r="41" spans="1:18" ht="9" customHeight="1" x14ac:dyDescent="0.2">
      <c r="A41" s="276"/>
      <c r="B41" s="195"/>
      <c r="C41" s="69"/>
      <c r="D41" s="70"/>
      <c r="E41" s="71"/>
      <c r="F41" s="72"/>
      <c r="G41" s="72"/>
      <c r="H41" s="137"/>
      <c r="I41" s="138"/>
      <c r="J41" s="138"/>
      <c r="K41" s="196"/>
      <c r="L41" s="195"/>
      <c r="M41" s="48"/>
      <c r="N41" s="48"/>
      <c r="O41" s="48"/>
      <c r="P41" s="137"/>
      <c r="Q41" s="196"/>
      <c r="R41" s="276"/>
    </row>
    <row r="42" spans="1:18" s="47" customFormat="1" ht="17.100000000000001" customHeight="1" x14ac:dyDescent="0.2">
      <c r="A42" s="279"/>
      <c r="B42" s="193"/>
      <c r="C42" s="301">
        <v>18</v>
      </c>
      <c r="D42" s="302" t="str">
        <f>D681</f>
        <v>EFECTOS ESPECIALES</v>
      </c>
      <c r="E42" s="303"/>
      <c r="F42" s="304"/>
      <c r="G42" s="304"/>
      <c r="H42" s="317">
        <f>H684</f>
        <v>50000</v>
      </c>
      <c r="I42" s="309">
        <f>I684</f>
        <v>10500</v>
      </c>
      <c r="J42" s="310">
        <f>J684</f>
        <v>60500</v>
      </c>
      <c r="K42" s="194"/>
      <c r="L42" s="193"/>
      <c r="M42" s="313">
        <f>M684</f>
        <v>15000</v>
      </c>
      <c r="N42" s="314">
        <f>N684</f>
        <v>35000</v>
      </c>
      <c r="O42" s="315">
        <f>O684</f>
        <v>0</v>
      </c>
      <c r="P42" s="317">
        <f>P684</f>
        <v>50000</v>
      </c>
      <c r="Q42" s="194"/>
      <c r="R42" s="279"/>
    </row>
    <row r="43" spans="1:18" ht="9" customHeight="1" x14ac:dyDescent="0.2">
      <c r="A43" s="276"/>
      <c r="B43" s="195"/>
      <c r="C43" s="69"/>
      <c r="D43" s="70"/>
      <c r="E43" s="71"/>
      <c r="F43" s="72"/>
      <c r="G43" s="72"/>
      <c r="H43" s="137"/>
      <c r="I43" s="138"/>
      <c r="J43" s="138"/>
      <c r="K43" s="196"/>
      <c r="L43" s="195"/>
      <c r="M43" s="180"/>
      <c r="N43" s="180"/>
      <c r="O43" s="180"/>
      <c r="P43" s="137"/>
      <c r="Q43" s="196"/>
      <c r="R43" s="276"/>
    </row>
    <row r="44" spans="1:18" s="47" customFormat="1" ht="17.100000000000001" customHeight="1" x14ac:dyDescent="0.2">
      <c r="A44" s="279"/>
      <c r="B44" s="193"/>
      <c r="C44" s="301">
        <v>19</v>
      </c>
      <c r="D44" s="302" t="str">
        <f>D686</f>
        <v>MOVILIDAD</v>
      </c>
      <c r="E44" s="303"/>
      <c r="F44" s="304"/>
      <c r="G44" s="304"/>
      <c r="H44" s="317">
        <f>H713</f>
        <v>1146050</v>
      </c>
      <c r="I44" s="309">
        <f>I713</f>
        <v>218410.5</v>
      </c>
      <c r="J44" s="310">
        <f>J713</f>
        <v>1364460.5</v>
      </c>
      <c r="K44" s="194"/>
      <c r="L44" s="193"/>
      <c r="M44" s="313">
        <f>M713</f>
        <v>158215</v>
      </c>
      <c r="N44" s="314">
        <f>N713</f>
        <v>979130</v>
      </c>
      <c r="O44" s="315">
        <f>O713</f>
        <v>8705</v>
      </c>
      <c r="P44" s="317">
        <f>P713</f>
        <v>1146050</v>
      </c>
      <c r="Q44" s="194"/>
      <c r="R44" s="279"/>
    </row>
    <row r="45" spans="1:18" ht="9" customHeight="1" x14ac:dyDescent="0.2">
      <c r="A45" s="276"/>
      <c r="B45" s="195"/>
      <c r="C45" s="69"/>
      <c r="D45" s="70"/>
      <c r="E45" s="71"/>
      <c r="F45" s="72"/>
      <c r="G45" s="72"/>
      <c r="H45" s="137"/>
      <c r="I45" s="138"/>
      <c r="J45" s="138"/>
      <c r="K45" s="196"/>
      <c r="L45" s="195"/>
      <c r="M45" s="48"/>
      <c r="N45" s="48"/>
      <c r="O45" s="48"/>
      <c r="P45" s="137"/>
      <c r="Q45" s="196"/>
      <c r="R45" s="276"/>
    </row>
    <row r="46" spans="1:18" s="47" customFormat="1" ht="17.100000000000001" customHeight="1" x14ac:dyDescent="0.2">
      <c r="A46" s="279"/>
      <c r="B46" s="193"/>
      <c r="C46" s="301">
        <v>20</v>
      </c>
      <c r="D46" s="302" t="str">
        <f>D715</f>
        <v>FUERZA MOTRIZ</v>
      </c>
      <c r="E46" s="303"/>
      <c r="F46" s="304"/>
      <c r="G46" s="304"/>
      <c r="H46" s="317">
        <f>H722</f>
        <v>175500</v>
      </c>
      <c r="I46" s="309">
        <f>I722</f>
        <v>36855</v>
      </c>
      <c r="J46" s="310">
        <f>J722</f>
        <v>212355</v>
      </c>
      <c r="K46" s="194"/>
      <c r="L46" s="193"/>
      <c r="M46" s="313">
        <f>M722</f>
        <v>27733.333333333336</v>
      </c>
      <c r="N46" s="314">
        <f>N722</f>
        <v>143216.66666666669</v>
      </c>
      <c r="O46" s="315">
        <f>O722</f>
        <v>4550</v>
      </c>
      <c r="P46" s="317">
        <f>P722</f>
        <v>175500.00000000003</v>
      </c>
      <c r="Q46" s="194"/>
      <c r="R46" s="279"/>
    </row>
    <row r="47" spans="1:18" ht="9" customHeight="1" x14ac:dyDescent="0.2">
      <c r="A47" s="276"/>
      <c r="B47" s="195"/>
      <c r="C47" s="69"/>
      <c r="D47" s="70"/>
      <c r="E47" s="71"/>
      <c r="F47" s="72"/>
      <c r="G47" s="72"/>
      <c r="H47" s="137"/>
      <c r="I47" s="138"/>
      <c r="J47" s="138"/>
      <c r="K47" s="196"/>
      <c r="L47" s="195"/>
      <c r="M47" s="48"/>
      <c r="N47" s="48"/>
      <c r="O47" s="48"/>
      <c r="P47" s="137"/>
      <c r="Q47" s="196"/>
      <c r="R47" s="276"/>
    </row>
    <row r="48" spans="1:18" s="47" customFormat="1" ht="17.100000000000001" customHeight="1" x14ac:dyDescent="0.2">
      <c r="A48" s="279"/>
      <c r="B48" s="193"/>
      <c r="C48" s="301">
        <v>21</v>
      </c>
      <c r="D48" s="302" t="str">
        <f>D724</f>
        <v>COMIDAS</v>
      </c>
      <c r="E48" s="303"/>
      <c r="F48" s="304"/>
      <c r="G48" s="304"/>
      <c r="H48" s="317">
        <f>H731</f>
        <v>659360</v>
      </c>
      <c r="I48" s="309">
        <f>I731</f>
        <v>136500</v>
      </c>
      <c r="J48" s="310">
        <f>J731</f>
        <v>795860</v>
      </c>
      <c r="K48" s="194"/>
      <c r="L48" s="193"/>
      <c r="M48" s="313">
        <f>M731</f>
        <v>139360</v>
      </c>
      <c r="N48" s="314">
        <f>N731</f>
        <v>520000</v>
      </c>
      <c r="O48" s="315">
        <f>O731</f>
        <v>0</v>
      </c>
      <c r="P48" s="317">
        <f>P731</f>
        <v>659360</v>
      </c>
      <c r="Q48" s="194"/>
      <c r="R48" s="279"/>
    </row>
    <row r="49" spans="1:18" ht="9" customHeight="1" x14ac:dyDescent="0.2">
      <c r="A49" s="276"/>
      <c r="B49" s="195"/>
      <c r="C49" s="69"/>
      <c r="D49" s="70"/>
      <c r="E49" s="71"/>
      <c r="F49" s="72"/>
      <c r="G49" s="72"/>
      <c r="H49" s="137"/>
      <c r="I49" s="138"/>
      <c r="J49" s="138"/>
      <c r="K49" s="196"/>
      <c r="L49" s="195"/>
      <c r="M49" s="180"/>
      <c r="N49" s="180"/>
      <c r="O49" s="180"/>
      <c r="P49" s="137"/>
      <c r="Q49" s="196"/>
      <c r="R49" s="276"/>
    </row>
    <row r="50" spans="1:18" s="47" customFormat="1" ht="17.100000000000001" customHeight="1" x14ac:dyDescent="0.2">
      <c r="A50" s="279"/>
      <c r="B50" s="193"/>
      <c r="C50" s="301">
        <v>22</v>
      </c>
      <c r="D50" s="302" t="str">
        <f>D733</f>
        <v>ADMINISTRACION</v>
      </c>
      <c r="E50" s="303"/>
      <c r="F50" s="304"/>
      <c r="G50" s="304"/>
      <c r="H50" s="317">
        <f>H747</f>
        <v>426000</v>
      </c>
      <c r="I50" s="309">
        <f>I747</f>
        <v>65310</v>
      </c>
      <c r="J50" s="310">
        <f>J747</f>
        <v>491310</v>
      </c>
      <c r="K50" s="194"/>
      <c r="L50" s="193"/>
      <c r="M50" s="313">
        <f>M747</f>
        <v>140580</v>
      </c>
      <c r="N50" s="314">
        <f>N747</f>
        <v>144840</v>
      </c>
      <c r="O50" s="315">
        <f>O747</f>
        <v>140580</v>
      </c>
      <c r="P50" s="317">
        <f>P747</f>
        <v>426000</v>
      </c>
      <c r="Q50" s="194"/>
      <c r="R50" s="279"/>
    </row>
    <row r="51" spans="1:18" ht="9" customHeight="1" x14ac:dyDescent="0.2">
      <c r="A51" s="276"/>
      <c r="B51" s="195"/>
      <c r="C51" s="69"/>
      <c r="D51" s="70"/>
      <c r="E51" s="71"/>
      <c r="F51" s="72"/>
      <c r="G51" s="72"/>
      <c r="H51" s="137"/>
      <c r="I51" s="138"/>
      <c r="J51" s="138"/>
      <c r="K51" s="196"/>
      <c r="L51" s="195"/>
      <c r="M51" s="48"/>
      <c r="N51" s="48"/>
      <c r="O51" s="48"/>
      <c r="P51" s="137"/>
      <c r="Q51" s="196"/>
      <c r="R51" s="276"/>
    </row>
    <row r="52" spans="1:18" s="47" customFormat="1" ht="17.100000000000001" customHeight="1" x14ac:dyDescent="0.2">
      <c r="A52" s="279"/>
      <c r="B52" s="193"/>
      <c r="C52" s="301">
        <v>23</v>
      </c>
      <c r="D52" s="302" t="str">
        <f>D749</f>
        <v>SEGUROS</v>
      </c>
      <c r="E52" s="303"/>
      <c r="F52" s="304"/>
      <c r="G52" s="304"/>
      <c r="H52" s="317">
        <f>H754</f>
        <v>160000</v>
      </c>
      <c r="I52" s="309">
        <f>I754</f>
        <v>33600</v>
      </c>
      <c r="J52" s="310">
        <f>J754</f>
        <v>193600</v>
      </c>
      <c r="K52" s="194"/>
      <c r="L52" s="193"/>
      <c r="M52" s="313">
        <f>M754</f>
        <v>47000</v>
      </c>
      <c r="N52" s="314">
        <f>N754</f>
        <v>113000</v>
      </c>
      <c r="O52" s="315">
        <f>O754</f>
        <v>0</v>
      </c>
      <c r="P52" s="317">
        <f>P754</f>
        <v>160000</v>
      </c>
      <c r="Q52" s="194"/>
      <c r="R52" s="279"/>
    </row>
    <row r="53" spans="1:18" s="47" customFormat="1" ht="17.100000000000001" customHeight="1" x14ac:dyDescent="0.2">
      <c r="A53" s="279"/>
      <c r="B53" s="420"/>
      <c r="C53" s="422"/>
      <c r="D53" s="423"/>
      <c r="E53" s="424"/>
      <c r="F53" s="425"/>
      <c r="G53" s="425"/>
      <c r="H53" s="407"/>
      <c r="I53" s="426"/>
      <c r="J53" s="426"/>
      <c r="K53" s="429"/>
      <c r="L53" s="427"/>
      <c r="M53" s="428"/>
      <c r="N53" s="428"/>
      <c r="O53" s="428"/>
      <c r="P53" s="407"/>
      <c r="Q53" s="421"/>
      <c r="R53" s="279"/>
    </row>
    <row r="54" spans="1:18" s="47" customFormat="1" ht="17.100000000000001" customHeight="1" x14ac:dyDescent="0.2">
      <c r="A54" s="279"/>
      <c r="B54" s="193"/>
      <c r="C54" s="301">
        <v>24</v>
      </c>
      <c r="D54" s="302" t="s">
        <v>287</v>
      </c>
      <c r="E54" s="303"/>
      <c r="F54" s="304"/>
      <c r="G54" s="304"/>
      <c r="H54" s="317">
        <f>+H758</f>
        <v>25000</v>
      </c>
      <c r="I54" s="309">
        <f>+I758</f>
        <v>5250</v>
      </c>
      <c r="J54" s="310">
        <f>+J758</f>
        <v>30250</v>
      </c>
      <c r="K54" s="194"/>
      <c r="L54" s="193"/>
      <c r="M54" s="313">
        <v>0</v>
      </c>
      <c r="N54" s="314">
        <v>25000</v>
      </c>
      <c r="O54" s="315">
        <v>0</v>
      </c>
      <c r="P54" s="317">
        <v>25000</v>
      </c>
      <c r="Q54" s="194"/>
      <c r="R54" s="279"/>
    </row>
    <row r="55" spans="1:18" ht="15" x14ac:dyDescent="0.2">
      <c r="A55" s="276"/>
      <c r="B55" s="195"/>
      <c r="C55" s="69"/>
      <c r="D55" s="70"/>
      <c r="E55" s="71"/>
      <c r="F55" s="72"/>
      <c r="G55" s="72"/>
      <c r="H55" s="137"/>
      <c r="I55" s="138"/>
      <c r="J55" s="138"/>
      <c r="K55" s="196"/>
      <c r="L55" s="195"/>
      <c r="M55" s="180"/>
      <c r="N55" s="180"/>
      <c r="O55" s="180"/>
      <c r="P55" s="137"/>
      <c r="Q55" s="196"/>
      <c r="R55" s="276"/>
    </row>
    <row r="56" spans="1:18" s="47" customFormat="1" ht="17.100000000000001" customHeight="1" x14ac:dyDescent="0.2">
      <c r="A56" s="279"/>
      <c r="B56" s="193"/>
      <c r="C56" s="301">
        <v>25</v>
      </c>
      <c r="D56" s="302" t="str">
        <f>D760</f>
        <v>SEGURIDAD</v>
      </c>
      <c r="E56" s="303"/>
      <c r="F56" s="304"/>
      <c r="G56" s="304"/>
      <c r="H56" s="317">
        <f>H762</f>
        <v>45500</v>
      </c>
      <c r="I56" s="309">
        <f>I762</f>
        <v>0</v>
      </c>
      <c r="J56" s="310">
        <f>J762</f>
        <v>45500</v>
      </c>
      <c r="K56" s="194"/>
      <c r="L56" s="193"/>
      <c r="M56" s="313">
        <f>M762</f>
        <v>0</v>
      </c>
      <c r="N56" s="314">
        <f>N762</f>
        <v>45500</v>
      </c>
      <c r="O56" s="315">
        <f>O762</f>
        <v>0</v>
      </c>
      <c r="P56" s="317">
        <f>P762</f>
        <v>45500</v>
      </c>
      <c r="Q56" s="194"/>
      <c r="R56" s="279"/>
    </row>
    <row r="57" spans="1:18" ht="9" customHeight="1" x14ac:dyDescent="0.2">
      <c r="A57" s="276"/>
      <c r="B57" s="195"/>
      <c r="C57" s="132"/>
      <c r="D57" s="133"/>
      <c r="E57" s="134"/>
      <c r="F57" s="5"/>
      <c r="G57" s="5"/>
      <c r="H57" s="139"/>
      <c r="I57" s="140"/>
      <c r="J57" s="140"/>
      <c r="K57" s="196"/>
      <c r="L57" s="195"/>
      <c r="M57" s="48"/>
      <c r="N57" s="48"/>
      <c r="O57" s="48"/>
      <c r="P57" s="139"/>
      <c r="Q57" s="196"/>
      <c r="R57" s="276"/>
    </row>
    <row r="58" spans="1:18" s="47" customFormat="1" ht="17.100000000000001" customHeight="1" x14ac:dyDescent="0.2">
      <c r="A58" s="279"/>
      <c r="B58" s="193"/>
      <c r="C58" s="301">
        <v>26</v>
      </c>
      <c r="D58" s="302" t="s">
        <v>259</v>
      </c>
      <c r="E58" s="303"/>
      <c r="F58" s="304"/>
      <c r="G58" s="304"/>
      <c r="H58" s="317">
        <f>+H768</f>
        <v>824951.81118147355</v>
      </c>
      <c r="I58" s="309">
        <v>0</v>
      </c>
      <c r="J58" s="310">
        <v>0</v>
      </c>
      <c r="K58" s="194"/>
      <c r="L58" s="193"/>
      <c r="M58" s="313">
        <v>0</v>
      </c>
      <c r="N58" s="314">
        <v>824952</v>
      </c>
      <c r="O58" s="315">
        <v>0</v>
      </c>
      <c r="P58" s="317">
        <v>824952</v>
      </c>
      <c r="Q58" s="194"/>
      <c r="R58" s="279"/>
    </row>
    <row r="59" spans="1:18" ht="9" customHeight="1" x14ac:dyDescent="0.2">
      <c r="A59" s="276"/>
      <c r="B59" s="195"/>
      <c r="C59" s="132"/>
      <c r="D59" s="133"/>
      <c r="E59" s="134"/>
      <c r="F59" s="5"/>
      <c r="G59" s="5"/>
      <c r="H59" s="139"/>
      <c r="I59" s="140"/>
      <c r="J59" s="140"/>
      <c r="K59" s="196"/>
      <c r="L59" s="195"/>
      <c r="M59" s="48"/>
      <c r="N59" s="48"/>
      <c r="O59" s="48"/>
      <c r="P59" s="139"/>
      <c r="Q59" s="196"/>
      <c r="R59" s="276"/>
    </row>
    <row r="60" spans="1:18" s="47" customFormat="1" ht="17.100000000000001" customHeight="1" x14ac:dyDescent="0.2">
      <c r="A60" s="279"/>
      <c r="B60" s="193"/>
      <c r="C60" s="301">
        <v>27</v>
      </c>
      <c r="D60" s="302" t="s">
        <v>255</v>
      </c>
      <c r="E60" s="303"/>
      <c r="F60" s="304"/>
      <c r="G60" s="304"/>
      <c r="H60" s="317">
        <f>+H771</f>
        <v>572088.63466121606</v>
      </c>
      <c r="I60" s="309">
        <f>I765</f>
        <v>0</v>
      </c>
      <c r="J60" s="310">
        <f>J765</f>
        <v>0</v>
      </c>
      <c r="K60" s="194"/>
      <c r="L60" s="193"/>
      <c r="M60" s="313">
        <f>M765</f>
        <v>0</v>
      </c>
      <c r="N60" s="314">
        <v>572089</v>
      </c>
      <c r="O60" s="315">
        <f>O765</f>
        <v>0</v>
      </c>
      <c r="P60" s="317">
        <f>P765</f>
        <v>0</v>
      </c>
      <c r="Q60" s="194"/>
      <c r="R60" s="279"/>
    </row>
    <row r="61" spans="1:18" ht="9" customHeight="1" thickBot="1" x14ac:dyDescent="0.25">
      <c r="A61" s="276"/>
      <c r="B61" s="195"/>
      <c r="C61" s="132"/>
      <c r="D61" s="133"/>
      <c r="E61" s="134"/>
      <c r="F61" s="5"/>
      <c r="G61" s="5"/>
      <c r="H61" s="139"/>
      <c r="I61" s="140"/>
      <c r="J61" s="140"/>
      <c r="K61" s="196"/>
      <c r="L61" s="195"/>
      <c r="M61" s="48"/>
      <c r="N61" s="48"/>
      <c r="O61" s="48"/>
      <c r="P61" s="139"/>
      <c r="Q61" s="196"/>
      <c r="R61" s="276"/>
    </row>
    <row r="62" spans="1:18" s="51" customFormat="1" ht="20.100000000000001" customHeight="1" thickBot="1" x14ac:dyDescent="0.25">
      <c r="A62" s="280"/>
      <c r="B62" s="197"/>
      <c r="C62" s="275" t="s">
        <v>161</v>
      </c>
      <c r="D62" s="146"/>
      <c r="E62" s="147"/>
      <c r="F62" s="499" t="s">
        <v>104</v>
      </c>
      <c r="G62" s="500"/>
      <c r="H62" s="325">
        <f>SUM(H60+H58+H56+H54+H52+H50+H48+H46+H44+H42+H40+H38+H36+H34+H32+H30+H28+H26+H24+H22+H20+H18+H16+H14+H12+H10+H8)</f>
        <v>20466661.601216558</v>
      </c>
      <c r="I62" s="321">
        <f>SUM(I60+I58+I56+I54+I52+I50+I48+I46+I44+I42+I40+I38+I36+I34+I32+I30+I28+I26+I24+I22+I20+I18+I16+I14+I12+I10+I8)</f>
        <v>1273513.5</v>
      </c>
      <c r="J62" s="322">
        <f>SUM(H62:I62)</f>
        <v>21740175.101216558</v>
      </c>
      <c r="K62" s="198"/>
      <c r="L62" s="197"/>
      <c r="M62" s="323">
        <f>SUM(M8:M60)</f>
        <v>2895419.7833333337</v>
      </c>
      <c r="N62" s="508">
        <f>SUM(N8:N60)</f>
        <v>15769681.366666665</v>
      </c>
      <c r="O62" s="324">
        <f>SUM(O7:O57)</f>
        <v>1801560.8374255337</v>
      </c>
      <c r="P62" s="509">
        <f>SUM(M62:O62)</f>
        <v>20466661.987425532</v>
      </c>
      <c r="Q62" s="198"/>
      <c r="R62" s="280"/>
    </row>
    <row r="63" spans="1:18" s="51" customFormat="1" ht="20.100000000000001" customHeight="1" x14ac:dyDescent="0.2">
      <c r="A63" s="280"/>
      <c r="B63" s="288"/>
      <c r="C63" s="275"/>
      <c r="D63" s="146"/>
      <c r="E63" s="147"/>
      <c r="F63" s="290"/>
      <c r="G63" s="290"/>
      <c r="H63" s="291"/>
      <c r="I63" s="291"/>
      <c r="J63" s="291"/>
      <c r="K63" s="292"/>
      <c r="L63" s="288"/>
      <c r="M63" s="293"/>
      <c r="N63" s="293"/>
      <c r="O63" s="293"/>
      <c r="P63" s="291"/>
      <c r="Q63" s="289"/>
      <c r="R63" s="280"/>
    </row>
    <row r="64" spans="1:18" s="44" customFormat="1" ht="21" customHeight="1" thickBot="1" x14ac:dyDescent="0.25">
      <c r="A64" s="281"/>
      <c r="B64" s="211"/>
      <c r="C64" s="212"/>
      <c r="D64" s="219"/>
      <c r="E64" s="220"/>
      <c r="F64" s="221"/>
      <c r="G64" s="221"/>
      <c r="H64" s="222"/>
      <c r="I64" s="223"/>
      <c r="J64" s="223"/>
      <c r="K64" s="216"/>
      <c r="L64" s="211"/>
      <c r="M64" s="224"/>
      <c r="N64" s="224"/>
      <c r="O64" s="224"/>
      <c r="P64" s="225"/>
      <c r="Q64" s="216"/>
      <c r="R64" s="281"/>
    </row>
    <row r="65" spans="1:18" s="49" customFormat="1" ht="27" customHeight="1" thickTop="1" x14ac:dyDescent="0.2">
      <c r="A65" s="276"/>
      <c r="B65" s="189"/>
      <c r="C65" s="226"/>
      <c r="D65" s="6"/>
      <c r="E65" s="7"/>
      <c r="F65" s="8"/>
      <c r="G65" s="8"/>
      <c r="H65" s="9"/>
      <c r="I65" s="50"/>
      <c r="J65" s="50"/>
      <c r="K65" s="190"/>
      <c r="L65" s="189"/>
      <c r="M65" s="54"/>
      <c r="N65" s="54"/>
      <c r="O65" s="54"/>
      <c r="P65" s="55"/>
      <c r="Q65" s="190"/>
      <c r="R65" s="276"/>
    </row>
    <row r="66" spans="1:18" s="49" customFormat="1" ht="33" customHeight="1" thickTop="1" thickBot="1" x14ac:dyDescent="0.25">
      <c r="A66" s="276"/>
      <c r="B66" s="189"/>
      <c r="C66" s="226"/>
      <c r="D66" s="6"/>
      <c r="E66" s="227"/>
      <c r="F66" s="227"/>
      <c r="G66" s="227"/>
      <c r="H66" s="227"/>
      <c r="I66" s="50"/>
      <c r="J66" s="50"/>
      <c r="K66" s="190"/>
      <c r="L66" s="189"/>
      <c r="M66" s="54"/>
      <c r="N66" s="54"/>
      <c r="O66" s="54"/>
      <c r="P66" s="55"/>
      <c r="Q66" s="190"/>
      <c r="R66" s="276"/>
    </row>
    <row r="67" spans="1:18" s="47" customFormat="1" ht="20.100000000000001" customHeight="1" thickBot="1" x14ac:dyDescent="0.25">
      <c r="A67" s="279"/>
      <c r="B67" s="199"/>
      <c r="C67" s="65"/>
      <c r="D67" s="305" t="s">
        <v>69</v>
      </c>
      <c r="E67" s="227"/>
      <c r="F67" s="227"/>
      <c r="G67" s="227"/>
      <c r="H67" s="227"/>
      <c r="I67" s="131"/>
      <c r="J67" s="131"/>
      <c r="K67" s="200"/>
      <c r="L67" s="199"/>
      <c r="M67" s="496" t="s">
        <v>7</v>
      </c>
      <c r="N67" s="497"/>
      <c r="O67" s="497"/>
      <c r="P67" s="498"/>
      <c r="Q67" s="200"/>
      <c r="R67" s="279"/>
    </row>
    <row r="68" spans="1:18" s="49" customFormat="1" ht="30" customHeight="1" x14ac:dyDescent="0.2">
      <c r="A68" s="276"/>
      <c r="B68" s="189"/>
      <c r="C68" s="66"/>
      <c r="D68" s="6"/>
      <c r="E68" s="7"/>
      <c r="F68" s="8"/>
      <c r="G68" s="8"/>
      <c r="H68" s="9"/>
      <c r="I68" s="50"/>
      <c r="J68" s="50"/>
      <c r="K68" s="190"/>
      <c r="L68" s="189"/>
      <c r="M68" s="54"/>
      <c r="N68" s="54"/>
      <c r="O68" s="54"/>
      <c r="P68" s="55"/>
      <c r="Q68" s="190"/>
      <c r="R68" s="276"/>
    </row>
    <row r="69" spans="1:18" s="51" customFormat="1" ht="15" customHeight="1" x14ac:dyDescent="0.2">
      <c r="A69" s="280"/>
      <c r="B69" s="201"/>
      <c r="C69" s="301">
        <v>1</v>
      </c>
      <c r="D69" s="306" t="s">
        <v>5</v>
      </c>
      <c r="E69" s="328" t="s">
        <v>82</v>
      </c>
      <c r="F69" s="329" t="s">
        <v>41</v>
      </c>
      <c r="G69" s="330" t="s">
        <v>42</v>
      </c>
      <c r="H69" s="326" t="s">
        <v>58</v>
      </c>
      <c r="I69" s="331" t="s">
        <v>61</v>
      </c>
      <c r="J69" s="331" t="s">
        <v>139</v>
      </c>
      <c r="K69" s="202"/>
      <c r="L69" s="201"/>
      <c r="M69" s="332" t="s">
        <v>97</v>
      </c>
      <c r="N69" s="332" t="s">
        <v>26</v>
      </c>
      <c r="O69" s="332" t="s">
        <v>60</v>
      </c>
      <c r="P69" s="327" t="s">
        <v>58</v>
      </c>
      <c r="Q69" s="202"/>
      <c r="R69" s="280"/>
    </row>
    <row r="70" spans="1:18" ht="15" customHeight="1" x14ac:dyDescent="0.2">
      <c r="A70" s="276"/>
      <c r="B70" s="195"/>
      <c r="C70" s="64"/>
      <c r="D70" s="263" t="s">
        <v>133</v>
      </c>
      <c r="E70" s="141" t="s">
        <v>127</v>
      </c>
      <c r="F70" s="33">
        <v>0</v>
      </c>
      <c r="G70" s="142">
        <v>0</v>
      </c>
      <c r="H70" s="28">
        <f t="shared" ref="H70:H75" si="0">F70*G70</f>
        <v>0</v>
      </c>
      <c r="I70" s="150">
        <v>0</v>
      </c>
      <c r="J70" s="150">
        <f t="shared" ref="J70:J75" si="1">H70+I70</f>
        <v>0</v>
      </c>
      <c r="K70" s="196"/>
      <c r="L70" s="195"/>
      <c r="M70" s="28">
        <f t="shared" ref="M70:M75" si="2">J70</f>
        <v>0</v>
      </c>
      <c r="N70" s="30"/>
      <c r="O70" s="28"/>
      <c r="P70" s="31"/>
      <c r="Q70" s="196"/>
      <c r="R70" s="276"/>
    </row>
    <row r="71" spans="1:18" ht="15" customHeight="1" x14ac:dyDescent="0.2">
      <c r="A71" s="276"/>
      <c r="B71" s="195"/>
      <c r="C71" s="64"/>
      <c r="D71" s="264" t="s">
        <v>170</v>
      </c>
      <c r="E71" s="91" t="s">
        <v>127</v>
      </c>
      <c r="F71" s="26">
        <v>25000</v>
      </c>
      <c r="G71" s="17">
        <v>13</v>
      </c>
      <c r="H71" s="28">
        <f>F71*G71</f>
        <v>325000</v>
      </c>
      <c r="I71" s="150">
        <f>+H71*21%</f>
        <v>68250</v>
      </c>
      <c r="J71" s="150">
        <f t="shared" si="1"/>
        <v>393250</v>
      </c>
      <c r="K71" s="196"/>
      <c r="L71" s="195"/>
      <c r="M71" s="28">
        <v>100000</v>
      </c>
      <c r="N71" s="30">
        <v>225000</v>
      </c>
      <c r="O71" s="28"/>
      <c r="P71" s="31"/>
      <c r="Q71" s="196"/>
      <c r="R71" s="276"/>
    </row>
    <row r="72" spans="1:18" ht="15" customHeight="1" x14ac:dyDescent="0.2">
      <c r="A72" s="276"/>
      <c r="B72" s="195"/>
      <c r="C72" s="64"/>
      <c r="D72" s="264" t="s">
        <v>100</v>
      </c>
      <c r="E72" s="91" t="s">
        <v>127</v>
      </c>
      <c r="F72" s="27">
        <v>0</v>
      </c>
      <c r="G72" s="17">
        <v>0</v>
      </c>
      <c r="H72" s="28">
        <f t="shared" si="0"/>
        <v>0</v>
      </c>
      <c r="I72" s="150">
        <v>0</v>
      </c>
      <c r="J72" s="150">
        <f t="shared" si="1"/>
        <v>0</v>
      </c>
      <c r="K72" s="196"/>
      <c r="L72" s="195"/>
      <c r="M72" s="28">
        <f t="shared" si="2"/>
        <v>0</v>
      </c>
      <c r="N72" s="30"/>
      <c r="O72" s="28"/>
      <c r="P72" s="31"/>
      <c r="Q72" s="196"/>
      <c r="R72" s="276"/>
    </row>
    <row r="73" spans="1:18" ht="15" customHeight="1" x14ac:dyDescent="0.2">
      <c r="A73" s="276"/>
      <c r="B73" s="195"/>
      <c r="C73" s="64"/>
      <c r="D73" s="265" t="s">
        <v>132</v>
      </c>
      <c r="E73" s="91" t="s">
        <v>127</v>
      </c>
      <c r="F73" s="28">
        <v>0</v>
      </c>
      <c r="G73" s="17">
        <v>0</v>
      </c>
      <c r="H73" s="28">
        <f t="shared" si="0"/>
        <v>0</v>
      </c>
      <c r="I73" s="150">
        <v>0</v>
      </c>
      <c r="J73" s="150">
        <f t="shared" si="1"/>
        <v>0</v>
      </c>
      <c r="K73" s="196"/>
      <c r="L73" s="195"/>
      <c r="M73" s="28">
        <f t="shared" si="2"/>
        <v>0</v>
      </c>
      <c r="N73" s="30"/>
      <c r="O73" s="28"/>
      <c r="P73" s="31"/>
      <c r="Q73" s="196"/>
      <c r="R73" s="276"/>
    </row>
    <row r="74" spans="1:18" ht="15" customHeight="1" x14ac:dyDescent="0.2">
      <c r="A74" s="276"/>
      <c r="B74" s="195"/>
      <c r="C74" s="64"/>
      <c r="D74" s="264" t="s">
        <v>51</v>
      </c>
      <c r="E74" s="91" t="s">
        <v>128</v>
      </c>
      <c r="F74" s="28">
        <v>0</v>
      </c>
      <c r="G74" s="17">
        <v>0</v>
      </c>
      <c r="H74" s="28">
        <f t="shared" si="0"/>
        <v>0</v>
      </c>
      <c r="I74" s="150">
        <v>0</v>
      </c>
      <c r="J74" s="150">
        <f t="shared" si="1"/>
        <v>0</v>
      </c>
      <c r="K74" s="196"/>
      <c r="L74" s="195"/>
      <c r="M74" s="28">
        <f t="shared" si="2"/>
        <v>0</v>
      </c>
      <c r="N74" s="30"/>
      <c r="O74" s="28"/>
      <c r="P74" s="31"/>
      <c r="Q74" s="196"/>
      <c r="R74" s="276"/>
    </row>
    <row r="75" spans="1:18" ht="15" customHeight="1" x14ac:dyDescent="0.2">
      <c r="A75" s="276"/>
      <c r="B75" s="195"/>
      <c r="C75" s="64"/>
      <c r="D75" s="264" t="s">
        <v>68</v>
      </c>
      <c r="E75" s="91" t="s">
        <v>127</v>
      </c>
      <c r="F75" s="28">
        <v>0</v>
      </c>
      <c r="G75" s="17">
        <v>0</v>
      </c>
      <c r="H75" s="28">
        <f t="shared" si="0"/>
        <v>0</v>
      </c>
      <c r="I75" s="150">
        <v>0</v>
      </c>
      <c r="J75" s="150">
        <f t="shared" si="1"/>
        <v>0</v>
      </c>
      <c r="K75" s="196"/>
      <c r="L75" s="195"/>
      <c r="M75" s="28">
        <f t="shared" si="2"/>
        <v>0</v>
      </c>
      <c r="N75" s="30"/>
      <c r="O75" s="28"/>
      <c r="P75" s="31"/>
      <c r="Q75" s="196"/>
      <c r="R75" s="276"/>
    </row>
    <row r="76" spans="1:18" s="51" customFormat="1" ht="15" customHeight="1" x14ac:dyDescent="0.2">
      <c r="A76" s="280"/>
      <c r="B76" s="197"/>
      <c r="C76" s="145">
        <f>SUM(C70:C75)</f>
        <v>0</v>
      </c>
      <c r="D76" s="144"/>
      <c r="E76" s="103"/>
      <c r="F76" s="481" t="s">
        <v>89</v>
      </c>
      <c r="G76" s="482" t="s">
        <v>104</v>
      </c>
      <c r="H76" s="337">
        <f>SUM(H70:H75)</f>
        <v>325000</v>
      </c>
      <c r="I76" s="333">
        <f>SUM(I70:I75)</f>
        <v>68250</v>
      </c>
      <c r="J76" s="333">
        <f>H76</f>
        <v>325000</v>
      </c>
      <c r="K76" s="289"/>
      <c r="L76" s="288"/>
      <c r="M76" s="334">
        <f>SUM(M70:M75)</f>
        <v>100000</v>
      </c>
      <c r="N76" s="335">
        <f>SUM(N70:N75)</f>
        <v>225000</v>
      </c>
      <c r="O76" s="336">
        <f>SUM(O70:O75)</f>
        <v>0</v>
      </c>
      <c r="P76" s="338">
        <f>SUM(M76:O76)</f>
        <v>325000</v>
      </c>
      <c r="Q76" s="198"/>
      <c r="R76" s="280"/>
    </row>
    <row r="77" spans="1:18" s="49" customFormat="1" ht="30" customHeight="1" x14ac:dyDescent="0.2">
      <c r="A77" s="276"/>
      <c r="B77" s="189"/>
      <c r="C77" s="66"/>
      <c r="D77" s="6"/>
      <c r="E77" s="7"/>
      <c r="F77" s="8"/>
      <c r="G77" s="8"/>
      <c r="H77" s="9"/>
      <c r="I77" s="50"/>
      <c r="J77" s="50"/>
      <c r="K77" s="190"/>
      <c r="L77" s="189"/>
      <c r="M77" s="54"/>
      <c r="N77" s="54"/>
      <c r="O77" s="54"/>
      <c r="P77" s="55"/>
      <c r="Q77" s="190"/>
      <c r="R77" s="276"/>
    </row>
    <row r="78" spans="1:18" s="51" customFormat="1" ht="15" customHeight="1" x14ac:dyDescent="0.2">
      <c r="A78" s="280"/>
      <c r="B78" s="201"/>
      <c r="C78" s="301">
        <v>2</v>
      </c>
      <c r="D78" s="306" t="s">
        <v>39</v>
      </c>
      <c r="E78" s="328" t="s">
        <v>82</v>
      </c>
      <c r="F78" s="329" t="s">
        <v>41</v>
      </c>
      <c r="G78" s="330" t="s">
        <v>42</v>
      </c>
      <c r="H78" s="326" t="s">
        <v>58</v>
      </c>
      <c r="I78" s="331" t="s">
        <v>61</v>
      </c>
      <c r="J78" s="331" t="s">
        <v>139</v>
      </c>
      <c r="K78" s="202"/>
      <c r="L78" s="201"/>
      <c r="M78" s="332" t="s">
        <v>97</v>
      </c>
      <c r="N78" s="332" t="s">
        <v>26</v>
      </c>
      <c r="O78" s="332" t="s">
        <v>60</v>
      </c>
      <c r="P78" s="327" t="s">
        <v>58</v>
      </c>
      <c r="Q78" s="202"/>
      <c r="R78" s="280"/>
    </row>
    <row r="79" spans="1:18" s="52" customFormat="1" ht="15" customHeight="1" x14ac:dyDescent="0.2">
      <c r="A79" s="276"/>
      <c r="B79" s="195"/>
      <c r="C79" s="13">
        <v>1</v>
      </c>
      <c r="D79" s="264" t="s">
        <v>33</v>
      </c>
      <c r="E79" s="91" t="s">
        <v>127</v>
      </c>
      <c r="F79" s="28">
        <v>70000</v>
      </c>
      <c r="G79" s="143">
        <v>7</v>
      </c>
      <c r="H79" s="35">
        <f>F79*G79</f>
        <v>490000</v>
      </c>
      <c r="I79" s="84">
        <f>H79*21%</f>
        <v>102900</v>
      </c>
      <c r="J79" s="84">
        <f>H79+I79</f>
        <v>592900</v>
      </c>
      <c r="K79" s="196"/>
      <c r="L79" s="195"/>
      <c r="M79" s="28">
        <v>140000</v>
      </c>
      <c r="N79" s="28">
        <v>210000</v>
      </c>
      <c r="O79" s="28">
        <f>H79-M79-N79</f>
        <v>140000</v>
      </c>
      <c r="P79" s="31"/>
      <c r="Q79" s="196"/>
      <c r="R79" s="276"/>
    </row>
    <row r="80" spans="1:18" s="52" customFormat="1" ht="15" customHeight="1" x14ac:dyDescent="0.2">
      <c r="A80" s="276"/>
      <c r="B80" s="195"/>
      <c r="C80" s="13"/>
      <c r="D80" s="264" t="s">
        <v>11</v>
      </c>
      <c r="E80" s="91" t="s">
        <v>127</v>
      </c>
      <c r="F80" s="28">
        <v>0</v>
      </c>
      <c r="G80" s="143">
        <v>1</v>
      </c>
      <c r="H80" s="35">
        <f>F80*G80</f>
        <v>0</v>
      </c>
      <c r="I80" s="84">
        <v>0</v>
      </c>
      <c r="J80" s="84">
        <f>H80</f>
        <v>0</v>
      </c>
      <c r="K80" s="196"/>
      <c r="L80" s="195"/>
      <c r="M80" s="28"/>
      <c r="N80" s="28"/>
      <c r="O80" s="28"/>
      <c r="P80" s="31"/>
      <c r="Q80" s="196"/>
      <c r="R80" s="276"/>
    </row>
    <row r="81" spans="1:18" s="52" customFormat="1" ht="15" customHeight="1" x14ac:dyDescent="0.2">
      <c r="A81" s="276"/>
      <c r="B81" s="195"/>
      <c r="C81" s="13"/>
      <c r="D81" s="264" t="s">
        <v>12</v>
      </c>
      <c r="E81" s="91" t="s">
        <v>127</v>
      </c>
      <c r="F81" s="28">
        <v>0</v>
      </c>
      <c r="G81" s="143">
        <v>1</v>
      </c>
      <c r="H81" s="35">
        <f>F81*G81</f>
        <v>0</v>
      </c>
      <c r="I81" s="84">
        <v>0</v>
      </c>
      <c r="J81" s="84">
        <f>H81</f>
        <v>0</v>
      </c>
      <c r="K81" s="196"/>
      <c r="L81" s="195"/>
      <c r="M81" s="28"/>
      <c r="N81" s="28">
        <f>J81</f>
        <v>0</v>
      </c>
      <c r="O81" s="28"/>
      <c r="P81" s="31"/>
      <c r="Q81" s="196"/>
      <c r="R81" s="276"/>
    </row>
    <row r="82" spans="1:18" s="51" customFormat="1" ht="15" customHeight="1" x14ac:dyDescent="0.2">
      <c r="A82" s="280"/>
      <c r="B82" s="197"/>
      <c r="C82" s="145">
        <f>SUM(C79:C81)</f>
        <v>1</v>
      </c>
      <c r="D82" s="144"/>
      <c r="E82" s="103"/>
      <c r="F82" s="481" t="s">
        <v>90</v>
      </c>
      <c r="G82" s="482" t="s">
        <v>104</v>
      </c>
      <c r="H82" s="337">
        <f>SUM(H79:H81)</f>
        <v>490000</v>
      </c>
      <c r="I82" s="333">
        <f>SUM(I79:I81)</f>
        <v>102900</v>
      </c>
      <c r="J82" s="333">
        <f>SUM(J79:J81)</f>
        <v>592900</v>
      </c>
      <c r="K82" s="289"/>
      <c r="L82" s="288"/>
      <c r="M82" s="334">
        <f>SUM(M79:M81)</f>
        <v>140000</v>
      </c>
      <c r="N82" s="335">
        <f>SUM(N79:N81)</f>
        <v>210000</v>
      </c>
      <c r="O82" s="336">
        <f>SUM(O79:O81)</f>
        <v>140000</v>
      </c>
      <c r="P82" s="338">
        <f>SUM(M82:O82)</f>
        <v>490000</v>
      </c>
      <c r="Q82" s="198"/>
      <c r="R82" s="280"/>
    </row>
    <row r="83" spans="1:18" s="49" customFormat="1" ht="30" customHeight="1" x14ac:dyDescent="0.2">
      <c r="A83" s="276"/>
      <c r="B83" s="189"/>
      <c r="C83" s="66"/>
      <c r="D83" s="6"/>
      <c r="E83" s="7"/>
      <c r="F83" s="8"/>
      <c r="G83" s="8"/>
      <c r="H83" s="9"/>
      <c r="I83" s="50"/>
      <c r="J83" s="50"/>
      <c r="K83" s="190"/>
      <c r="L83" s="189"/>
      <c r="M83" s="54"/>
      <c r="N83" s="54"/>
      <c r="O83" s="54"/>
      <c r="P83" s="55"/>
      <c r="Q83" s="190"/>
      <c r="R83" s="276"/>
    </row>
    <row r="84" spans="1:18" s="51" customFormat="1" ht="15" customHeight="1" x14ac:dyDescent="0.2">
      <c r="A84" s="280"/>
      <c r="B84" s="201"/>
      <c r="C84" s="301">
        <v>3</v>
      </c>
      <c r="D84" s="306" t="s">
        <v>40</v>
      </c>
      <c r="E84" s="328" t="s">
        <v>82</v>
      </c>
      <c r="F84" s="329" t="s">
        <v>41</v>
      </c>
      <c r="G84" s="330" t="s">
        <v>42</v>
      </c>
      <c r="H84" s="326" t="s">
        <v>58</v>
      </c>
      <c r="I84" s="331" t="s">
        <v>61</v>
      </c>
      <c r="J84" s="331" t="s">
        <v>139</v>
      </c>
      <c r="K84" s="202"/>
      <c r="L84" s="201"/>
      <c r="M84" s="332" t="s">
        <v>97</v>
      </c>
      <c r="N84" s="332" t="s">
        <v>26</v>
      </c>
      <c r="O84" s="332" t="s">
        <v>60</v>
      </c>
      <c r="P84" s="327" t="s">
        <v>58</v>
      </c>
      <c r="Q84" s="202"/>
      <c r="R84" s="280"/>
    </row>
    <row r="85" spans="1:18" s="52" customFormat="1" ht="15" customHeight="1" x14ac:dyDescent="0.2">
      <c r="A85" s="276"/>
      <c r="B85" s="195"/>
      <c r="C85" s="64"/>
      <c r="D85" s="264" t="s">
        <v>84</v>
      </c>
      <c r="E85" s="91" t="s">
        <v>127</v>
      </c>
      <c r="F85" s="28">
        <v>0</v>
      </c>
      <c r="G85" s="17">
        <v>0</v>
      </c>
      <c r="H85" s="28">
        <f>F85*G85</f>
        <v>0</v>
      </c>
      <c r="I85" s="84">
        <v>0</v>
      </c>
      <c r="J85" s="84">
        <f>H85</f>
        <v>0</v>
      </c>
      <c r="K85" s="196"/>
      <c r="L85" s="195"/>
      <c r="M85" s="28">
        <f>H85*30%</f>
        <v>0</v>
      </c>
      <c r="N85" s="28">
        <f>H85*40%</f>
        <v>0</v>
      </c>
      <c r="O85" s="28">
        <f>H85*30%</f>
        <v>0</v>
      </c>
      <c r="P85" s="31"/>
      <c r="Q85" s="196"/>
      <c r="R85" s="276"/>
    </row>
    <row r="86" spans="1:18" s="52" customFormat="1" ht="15" customHeight="1" x14ac:dyDescent="0.2">
      <c r="A86" s="276"/>
      <c r="B86" s="195"/>
      <c r="C86" s="13">
        <v>1</v>
      </c>
      <c r="D86" s="264" t="s">
        <v>44</v>
      </c>
      <c r="E86" s="91" t="s">
        <v>127</v>
      </c>
      <c r="F86" s="28">
        <v>60000</v>
      </c>
      <c r="G86" s="143">
        <v>7</v>
      </c>
      <c r="H86" s="35">
        <f>F86*G86</f>
        <v>420000</v>
      </c>
      <c r="I86" s="84">
        <f>H86*21%</f>
        <v>88200</v>
      </c>
      <c r="J86" s="84">
        <f>H86+I86</f>
        <v>508200</v>
      </c>
      <c r="K86" s="196"/>
      <c r="L86" s="195"/>
      <c r="M86" s="28">
        <f>H86*30%</f>
        <v>126000</v>
      </c>
      <c r="N86" s="28">
        <f>H86*40%</f>
        <v>168000</v>
      </c>
      <c r="O86" s="28">
        <f>H86*30%</f>
        <v>126000</v>
      </c>
      <c r="P86" s="31"/>
      <c r="Q86" s="196"/>
      <c r="R86" s="276"/>
    </row>
    <row r="87" spans="1:18" s="52" customFormat="1" ht="15" customHeight="1" x14ac:dyDescent="0.2">
      <c r="A87" s="276"/>
      <c r="B87" s="195"/>
      <c r="C87" s="13"/>
      <c r="D87" s="264" t="s">
        <v>50</v>
      </c>
      <c r="E87" s="91" t="s">
        <v>127</v>
      </c>
      <c r="F87" s="28">
        <v>0</v>
      </c>
      <c r="G87" s="143">
        <v>0</v>
      </c>
      <c r="H87" s="35">
        <f>F87*G87</f>
        <v>0</v>
      </c>
      <c r="I87" s="84">
        <v>0</v>
      </c>
      <c r="J87" s="84">
        <f>H87</f>
        <v>0</v>
      </c>
      <c r="K87" s="196"/>
      <c r="L87" s="195"/>
      <c r="M87" s="28">
        <f>H87*30%</f>
        <v>0</v>
      </c>
      <c r="N87" s="28">
        <f>H87*40%</f>
        <v>0</v>
      </c>
      <c r="O87" s="28">
        <f>H87*30%</f>
        <v>0</v>
      </c>
      <c r="P87" s="31"/>
      <c r="Q87" s="196"/>
      <c r="R87" s="276"/>
    </row>
    <row r="88" spans="1:18" s="52" customFormat="1" ht="15" customHeight="1" x14ac:dyDescent="0.2">
      <c r="A88" s="276"/>
      <c r="B88" s="195"/>
      <c r="C88" s="13"/>
      <c r="D88" s="264" t="s">
        <v>121</v>
      </c>
      <c r="E88" s="91" t="s">
        <v>129</v>
      </c>
      <c r="F88" s="28">
        <v>0</v>
      </c>
      <c r="G88" s="143">
        <v>0</v>
      </c>
      <c r="H88" s="35">
        <f>F88*G88</f>
        <v>0</v>
      </c>
      <c r="I88" s="84">
        <v>0</v>
      </c>
      <c r="J88" s="84">
        <f>H88</f>
        <v>0</v>
      </c>
      <c r="K88" s="196"/>
      <c r="L88" s="195"/>
      <c r="M88" s="28">
        <f>H88*30%</f>
        <v>0</v>
      </c>
      <c r="N88" s="28">
        <f>H88*40%</f>
        <v>0</v>
      </c>
      <c r="O88" s="28">
        <f>H88*30%</f>
        <v>0</v>
      </c>
      <c r="P88" s="31"/>
      <c r="Q88" s="196"/>
      <c r="R88" s="276"/>
    </row>
    <row r="89" spans="1:18" s="51" customFormat="1" ht="15" customHeight="1" x14ac:dyDescent="0.2">
      <c r="A89" s="280"/>
      <c r="B89" s="197"/>
      <c r="C89" s="145">
        <f>SUM(C85:C88)</f>
        <v>1</v>
      </c>
      <c r="D89" s="144"/>
      <c r="E89" s="103"/>
      <c r="F89" s="481" t="s">
        <v>91</v>
      </c>
      <c r="G89" s="482" t="s">
        <v>104</v>
      </c>
      <c r="H89" s="337">
        <f>SUM(H85:H88)</f>
        <v>420000</v>
      </c>
      <c r="I89" s="333">
        <f>SUM(I85:I88)</f>
        <v>88200</v>
      </c>
      <c r="J89" s="333">
        <f>SUM(J85:J88)</f>
        <v>508200</v>
      </c>
      <c r="K89" s="289"/>
      <c r="L89" s="288"/>
      <c r="M89" s="334">
        <f>SUM(M85:M88)</f>
        <v>126000</v>
      </c>
      <c r="N89" s="335">
        <f>SUM(N85:N88)</f>
        <v>168000</v>
      </c>
      <c r="O89" s="336">
        <f>SUM(O85:O88)</f>
        <v>126000</v>
      </c>
      <c r="P89" s="338">
        <f>SUM(M89:O89)</f>
        <v>420000</v>
      </c>
      <c r="Q89" s="198"/>
      <c r="R89" s="280"/>
    </row>
    <row r="90" spans="1:18" s="49" customFormat="1" ht="30" customHeight="1" x14ac:dyDescent="0.2">
      <c r="A90" s="276"/>
      <c r="B90" s="189"/>
      <c r="C90" s="66"/>
      <c r="D90" s="6"/>
      <c r="E90" s="7"/>
      <c r="F90" s="8"/>
      <c r="G90" s="8"/>
      <c r="H90" s="9"/>
      <c r="I90" s="50"/>
      <c r="J90" s="50"/>
      <c r="K90" s="190"/>
      <c r="L90" s="189"/>
      <c r="M90" s="54"/>
      <c r="N90" s="54"/>
      <c r="O90" s="54"/>
      <c r="P90" s="55"/>
      <c r="Q90" s="190"/>
      <c r="R90" s="276"/>
    </row>
    <row r="91" spans="1:18" s="51" customFormat="1" ht="15" customHeight="1" x14ac:dyDescent="0.2">
      <c r="A91" s="280"/>
      <c r="B91" s="201"/>
      <c r="C91" s="339">
        <v>4</v>
      </c>
      <c r="D91" s="306" t="s">
        <v>148</v>
      </c>
      <c r="E91" s="328" t="s">
        <v>82</v>
      </c>
      <c r="F91" s="329" t="s">
        <v>41</v>
      </c>
      <c r="G91" s="330" t="s">
        <v>42</v>
      </c>
      <c r="H91" s="326" t="s">
        <v>58</v>
      </c>
      <c r="I91" s="331" t="s">
        <v>61</v>
      </c>
      <c r="J91" s="331" t="s">
        <v>139</v>
      </c>
      <c r="K91" s="202"/>
      <c r="L91" s="201"/>
      <c r="M91" s="332" t="s">
        <v>97</v>
      </c>
      <c r="N91" s="332" t="s">
        <v>26</v>
      </c>
      <c r="O91" s="332" t="s">
        <v>60</v>
      </c>
      <c r="P91" s="327" t="s">
        <v>58</v>
      </c>
      <c r="Q91" s="202"/>
      <c r="R91" s="280"/>
    </row>
    <row r="92" spans="1:18" s="90" customFormat="1" ht="15" customHeight="1" x14ac:dyDescent="0.2">
      <c r="A92" s="282"/>
      <c r="B92" s="203"/>
      <c r="C92" s="13"/>
      <c r="D92" s="294" t="s">
        <v>169</v>
      </c>
      <c r="E92" s="96"/>
      <c r="F92" s="85"/>
      <c r="G92" s="86"/>
      <c r="H92" s="161"/>
      <c r="I92" s="53"/>
      <c r="J92" s="53"/>
      <c r="K92" s="204"/>
      <c r="L92" s="203"/>
      <c r="M92" s="88"/>
      <c r="N92" s="80"/>
      <c r="O92" s="80"/>
      <c r="P92" s="89"/>
      <c r="Q92" s="204"/>
      <c r="R92" s="282"/>
    </row>
    <row r="93" spans="1:18" s="90" customFormat="1" ht="15" customHeight="1" x14ac:dyDescent="0.2">
      <c r="A93" s="414"/>
      <c r="B93" s="367"/>
      <c r="C93" s="13"/>
      <c r="D93" s="415" t="s">
        <v>284</v>
      </c>
      <c r="E93" s="96"/>
      <c r="F93" s="85"/>
      <c r="G93" s="86"/>
      <c r="H93" s="416"/>
      <c r="I93" s="53"/>
      <c r="J93" s="53"/>
      <c r="K93" s="368"/>
      <c r="L93" s="367"/>
      <c r="M93" s="88"/>
      <c r="N93" s="80"/>
      <c r="O93" s="80"/>
      <c r="P93" s="89"/>
      <c r="Q93" s="368"/>
      <c r="R93" s="414"/>
    </row>
    <row r="94" spans="1:18" s="90" customFormat="1" ht="15" customHeight="1" x14ac:dyDescent="0.2">
      <c r="A94" s="282"/>
      <c r="B94" s="203"/>
      <c r="C94" s="13">
        <v>1</v>
      </c>
      <c r="D94" s="266" t="s">
        <v>171</v>
      </c>
      <c r="E94" s="78">
        <v>25325.33</v>
      </c>
      <c r="F94" s="247"/>
      <c r="G94" s="52"/>
      <c r="H94" s="248"/>
      <c r="I94" s="249"/>
      <c r="J94" s="151"/>
      <c r="K94" s="204"/>
      <c r="L94" s="203"/>
      <c r="M94" s="88"/>
      <c r="N94" s="80"/>
      <c r="O94" s="80"/>
      <c r="P94" s="89"/>
      <c r="Q94" s="204"/>
      <c r="R94" s="282"/>
    </row>
    <row r="95" spans="1:18" s="90" customFormat="1" x14ac:dyDescent="0.2">
      <c r="A95" s="282"/>
      <c r="B95" s="243"/>
      <c r="C95" s="64"/>
      <c r="D95" s="76" t="s">
        <v>93</v>
      </c>
      <c r="E95" s="78" t="s">
        <v>166</v>
      </c>
      <c r="F95" s="250">
        <f>E94</f>
        <v>25325.33</v>
      </c>
      <c r="G95" s="63">
        <v>2</v>
      </c>
      <c r="H95" s="28">
        <f>+G95*F95</f>
        <v>50650.66</v>
      </c>
      <c r="I95" s="251"/>
      <c r="J95" s="80"/>
      <c r="K95" s="244"/>
      <c r="L95" s="243"/>
      <c r="M95" s="84">
        <f>H95</f>
        <v>50650.66</v>
      </c>
      <c r="N95" s="92"/>
      <c r="O95" s="84"/>
      <c r="P95" s="31"/>
      <c r="Q95" s="244"/>
      <c r="R95" s="282"/>
    </row>
    <row r="96" spans="1:18" s="90" customFormat="1" x14ac:dyDescent="0.2">
      <c r="A96" s="282"/>
      <c r="B96" s="243"/>
      <c r="C96" s="64"/>
      <c r="D96" s="76" t="s">
        <v>86</v>
      </c>
      <c r="E96" s="78" t="s">
        <v>166</v>
      </c>
      <c r="F96" s="250">
        <f>E94</f>
        <v>25325.33</v>
      </c>
      <c r="G96" s="252">
        <v>3</v>
      </c>
      <c r="H96" s="28">
        <f>+G96*F96</f>
        <v>75975.990000000005</v>
      </c>
      <c r="I96" s="251"/>
      <c r="J96" s="80"/>
      <c r="K96" s="244"/>
      <c r="L96" s="243"/>
      <c r="M96" s="84"/>
      <c r="N96" s="92">
        <f>H96</f>
        <v>75975.990000000005</v>
      </c>
      <c r="O96" s="84"/>
      <c r="P96" s="31"/>
      <c r="Q96" s="244"/>
      <c r="R96" s="282"/>
    </row>
    <row r="97" spans="1:18" s="90" customFormat="1" x14ac:dyDescent="0.2">
      <c r="A97" s="282"/>
      <c r="B97" s="243"/>
      <c r="C97" s="64"/>
      <c r="D97" s="76" t="s">
        <v>168</v>
      </c>
      <c r="E97" s="253">
        <v>69</v>
      </c>
      <c r="F97" s="250">
        <f>E94/150*1.5</f>
        <v>253.25330000000002</v>
      </c>
      <c r="G97" s="63">
        <f>+F101</f>
        <v>6</v>
      </c>
      <c r="H97" s="28">
        <f>+G97*F97*E97</f>
        <v>104846.8662</v>
      </c>
      <c r="I97" s="251"/>
      <c r="J97" s="80"/>
      <c r="K97" s="244"/>
      <c r="L97" s="243"/>
      <c r="M97" s="84"/>
      <c r="N97" s="92">
        <f>H97</f>
        <v>104846.8662</v>
      </c>
      <c r="O97" s="84"/>
      <c r="P97" s="31"/>
      <c r="Q97" s="244"/>
      <c r="R97" s="282"/>
    </row>
    <row r="98" spans="1:18" s="90" customFormat="1" x14ac:dyDescent="0.2">
      <c r="A98" s="282"/>
      <c r="B98" s="243"/>
      <c r="C98" s="64"/>
      <c r="D98" s="76" t="s">
        <v>15</v>
      </c>
      <c r="E98" s="10" t="s">
        <v>130</v>
      </c>
      <c r="F98" s="250">
        <v>0</v>
      </c>
      <c r="G98" s="28">
        <f>$H$3</f>
        <v>0</v>
      </c>
      <c r="H98" s="28">
        <f>+G98*F98</f>
        <v>0</v>
      </c>
      <c r="I98" s="251"/>
      <c r="J98" s="80"/>
      <c r="K98" s="244"/>
      <c r="L98" s="243"/>
      <c r="M98" s="84"/>
      <c r="N98" s="92">
        <f>H98</f>
        <v>0</v>
      </c>
      <c r="O98" s="84"/>
      <c r="P98" s="31"/>
      <c r="Q98" s="244"/>
      <c r="R98" s="282"/>
    </row>
    <row r="99" spans="1:18" s="90" customFormat="1" x14ac:dyDescent="0.2">
      <c r="A99" s="282"/>
      <c r="B99" s="243"/>
      <c r="C99" s="64"/>
      <c r="D99" s="76" t="s">
        <v>17</v>
      </c>
      <c r="E99" s="10" t="s">
        <v>130</v>
      </c>
      <c r="F99" s="250">
        <v>0</v>
      </c>
      <c r="G99" s="28">
        <f>$H$4</f>
        <v>0</v>
      </c>
      <c r="H99" s="28">
        <f>+G99*F99</f>
        <v>0</v>
      </c>
      <c r="I99" s="251"/>
      <c r="J99" s="80"/>
      <c r="K99" s="244"/>
      <c r="L99" s="243"/>
      <c r="M99" s="84"/>
      <c r="N99" s="92">
        <f>H99</f>
        <v>0</v>
      </c>
      <c r="O99" s="84"/>
      <c r="P99" s="31"/>
      <c r="Q99" s="244"/>
      <c r="R99" s="282"/>
    </row>
    <row r="100" spans="1:18" s="90" customFormat="1" x14ac:dyDescent="0.2">
      <c r="A100" s="282"/>
      <c r="B100" s="243"/>
      <c r="C100" s="64"/>
      <c r="D100" s="76" t="s">
        <v>14</v>
      </c>
      <c r="E100" s="78" t="s">
        <v>66</v>
      </c>
      <c r="F100" s="250">
        <f>E94</f>
        <v>25325.33</v>
      </c>
      <c r="G100" s="28">
        <v>1</v>
      </c>
      <c r="H100" s="28">
        <f>+G100*F100</f>
        <v>25325.33</v>
      </c>
      <c r="I100" s="251"/>
      <c r="J100" s="80"/>
      <c r="K100" s="244"/>
      <c r="L100" s="243"/>
      <c r="M100" s="84"/>
      <c r="N100" s="92"/>
      <c r="O100" s="84">
        <f>SUM(H100)</f>
        <v>25325.33</v>
      </c>
      <c r="P100" s="31"/>
      <c r="Q100" s="244"/>
      <c r="R100" s="282"/>
    </row>
    <row r="101" spans="1:18" s="90" customFormat="1" x14ac:dyDescent="0.2">
      <c r="A101" s="282"/>
      <c r="B101" s="243"/>
      <c r="C101" s="64"/>
      <c r="D101" s="76" t="s">
        <v>167</v>
      </c>
      <c r="E101" s="449" t="s">
        <v>127</v>
      </c>
      <c r="F101" s="450">
        <f>+G95+G96+G100</f>
        <v>6</v>
      </c>
      <c r="G101" s="254" t="s">
        <v>153</v>
      </c>
      <c r="H101" s="255">
        <f>SUM(H95:H100)</f>
        <v>256798.84620000003</v>
      </c>
      <c r="I101" s="251"/>
      <c r="J101" s="80"/>
      <c r="K101" s="244"/>
      <c r="L101" s="243"/>
      <c r="M101" s="245"/>
      <c r="N101" s="246"/>
      <c r="O101" s="92"/>
      <c r="P101" s="31"/>
      <c r="Q101" s="244"/>
      <c r="R101" s="282"/>
    </row>
    <row r="102" spans="1:18" s="90" customFormat="1" x14ac:dyDescent="0.2">
      <c r="A102" s="282"/>
      <c r="B102" s="243"/>
      <c r="C102" s="64"/>
      <c r="D102" s="117" t="s">
        <v>152</v>
      </c>
      <c r="E102" s="449" t="s">
        <v>127</v>
      </c>
      <c r="F102" s="451">
        <f>+E94+(F97*69)</f>
        <v>42799.807700000005</v>
      </c>
      <c r="G102" s="452"/>
      <c r="H102" s="255">
        <f>+((F102/2)*F101)/6</f>
        <v>21399.903850000002</v>
      </c>
      <c r="I102" s="256"/>
      <c r="J102" s="242"/>
      <c r="K102" s="244"/>
      <c r="L102" s="243"/>
      <c r="M102" s="84"/>
      <c r="N102" s="93"/>
      <c r="O102" s="94">
        <f>H102</f>
        <v>21399.903850000002</v>
      </c>
      <c r="P102" s="89"/>
      <c r="Q102" s="244"/>
      <c r="R102" s="282"/>
    </row>
    <row r="103" spans="1:18" s="90" customFormat="1" x14ac:dyDescent="0.2">
      <c r="A103" s="282"/>
      <c r="B103" s="243"/>
      <c r="C103" s="64"/>
      <c r="D103" s="117" t="s">
        <v>211</v>
      </c>
      <c r="E103" s="453" t="s">
        <v>81</v>
      </c>
      <c r="F103" s="451">
        <f>+E94+(F97*69)</f>
        <v>42799.807700000005</v>
      </c>
      <c r="G103" s="454"/>
      <c r="H103" s="255">
        <f>+(F103/30)*((F101*30)/20)</f>
        <v>12839.94231</v>
      </c>
      <c r="I103" s="257">
        <v>0</v>
      </c>
      <c r="J103" s="94">
        <f>+(H101+H102+H103)*C94</f>
        <v>291038.69236000004</v>
      </c>
      <c r="K103" s="244"/>
      <c r="L103" s="243"/>
      <c r="M103" s="84"/>
      <c r="N103" s="93"/>
      <c r="O103" s="94">
        <f>H103</f>
        <v>12839.94231</v>
      </c>
      <c r="P103" s="89"/>
      <c r="Q103" s="244"/>
      <c r="R103" s="282"/>
    </row>
    <row r="104" spans="1:18" s="90" customFormat="1" x14ac:dyDescent="0.2">
      <c r="A104" s="282"/>
      <c r="B104" s="243"/>
      <c r="C104" s="64"/>
      <c r="D104" s="95"/>
      <c r="E104" s="455"/>
      <c r="F104" s="456"/>
      <c r="G104" s="457"/>
      <c r="H104" s="458"/>
      <c r="I104" s="259"/>
      <c r="J104" s="80"/>
      <c r="K104" s="244"/>
      <c r="L104" s="243"/>
      <c r="M104" s="88"/>
      <c r="N104" s="80"/>
      <c r="O104" s="80"/>
      <c r="P104" s="89"/>
      <c r="Q104" s="244"/>
      <c r="R104" s="282"/>
    </row>
    <row r="105" spans="1:18" s="90" customFormat="1" ht="15" customHeight="1" x14ac:dyDescent="0.2">
      <c r="A105" s="282"/>
      <c r="B105" s="203"/>
      <c r="C105" s="13">
        <v>1</v>
      </c>
      <c r="D105" s="266" t="s">
        <v>203</v>
      </c>
      <c r="E105" s="459">
        <v>19149.900000000001</v>
      </c>
      <c r="F105" s="456"/>
      <c r="G105" s="460"/>
      <c r="H105" s="461"/>
      <c r="I105" s="249"/>
      <c r="J105" s="151"/>
      <c r="K105" s="204"/>
      <c r="L105" s="203"/>
      <c r="M105" s="88"/>
      <c r="N105" s="80"/>
      <c r="O105" s="80"/>
      <c r="P105" s="89"/>
      <c r="Q105" s="204"/>
      <c r="R105" s="282"/>
    </row>
    <row r="106" spans="1:18" s="90" customFormat="1" x14ac:dyDescent="0.2">
      <c r="A106" s="282"/>
      <c r="B106" s="205"/>
      <c r="C106" s="64"/>
      <c r="D106" s="76" t="s">
        <v>93</v>
      </c>
      <c r="E106" s="462" t="s">
        <v>166</v>
      </c>
      <c r="F106" s="451">
        <f>E105</f>
        <v>19149.900000000001</v>
      </c>
      <c r="G106" s="463">
        <v>1</v>
      </c>
      <c r="H106" s="255">
        <f>+G106*F106</f>
        <v>19149.900000000001</v>
      </c>
      <c r="I106" s="251"/>
      <c r="J106" s="80"/>
      <c r="K106" s="206"/>
      <c r="L106" s="205"/>
      <c r="M106" s="84">
        <f>H106</f>
        <v>19149.900000000001</v>
      </c>
      <c r="N106" s="92"/>
      <c r="O106" s="84"/>
      <c r="P106" s="31"/>
      <c r="Q106" s="206"/>
      <c r="R106" s="282"/>
    </row>
    <row r="107" spans="1:18" s="90" customFormat="1" x14ac:dyDescent="0.2">
      <c r="A107" s="282"/>
      <c r="B107" s="205"/>
      <c r="C107" s="64"/>
      <c r="D107" s="76" t="s">
        <v>86</v>
      </c>
      <c r="E107" s="462" t="s">
        <v>166</v>
      </c>
      <c r="F107" s="451">
        <f>E105</f>
        <v>19149.900000000001</v>
      </c>
      <c r="G107" s="464">
        <v>3</v>
      </c>
      <c r="H107" s="255">
        <f>+G107*F107</f>
        <v>57449.700000000004</v>
      </c>
      <c r="I107" s="251"/>
      <c r="J107" s="80"/>
      <c r="K107" s="206"/>
      <c r="L107" s="205"/>
      <c r="M107" s="84"/>
      <c r="N107" s="92">
        <f>H107</f>
        <v>57449.700000000004</v>
      </c>
      <c r="O107" s="84"/>
      <c r="P107" s="31"/>
      <c r="Q107" s="206"/>
      <c r="R107" s="282"/>
    </row>
    <row r="108" spans="1:18" s="90" customFormat="1" x14ac:dyDescent="0.2">
      <c r="A108" s="282"/>
      <c r="B108" s="205"/>
      <c r="C108" s="64"/>
      <c r="D108" s="76" t="s">
        <v>168</v>
      </c>
      <c r="E108" s="465">
        <v>69</v>
      </c>
      <c r="F108" s="451">
        <f>E105/150*1.5</f>
        <v>191.49900000000002</v>
      </c>
      <c r="G108" s="463">
        <f>+F112</f>
        <v>5</v>
      </c>
      <c r="H108" s="255">
        <f>+G108*F108*E108</f>
        <v>66067.155000000013</v>
      </c>
      <c r="I108" s="251"/>
      <c r="J108" s="80"/>
      <c r="K108" s="206"/>
      <c r="L108" s="205"/>
      <c r="M108" s="84"/>
      <c r="N108" s="92">
        <f>H108</f>
        <v>66067.155000000013</v>
      </c>
      <c r="O108" s="84"/>
      <c r="P108" s="31"/>
      <c r="Q108" s="206"/>
      <c r="R108" s="282"/>
    </row>
    <row r="109" spans="1:18" s="90" customFormat="1" x14ac:dyDescent="0.2">
      <c r="A109" s="282"/>
      <c r="B109" s="205"/>
      <c r="C109" s="64"/>
      <c r="D109" s="76" t="s">
        <v>15</v>
      </c>
      <c r="E109" s="449" t="s">
        <v>130</v>
      </c>
      <c r="F109" s="451">
        <v>0</v>
      </c>
      <c r="G109" s="255">
        <f>$H$3</f>
        <v>0</v>
      </c>
      <c r="H109" s="255">
        <f>+G109*F109</f>
        <v>0</v>
      </c>
      <c r="I109" s="251"/>
      <c r="J109" s="80"/>
      <c r="K109" s="206"/>
      <c r="L109" s="205"/>
      <c r="M109" s="84"/>
      <c r="N109" s="92">
        <f>H109</f>
        <v>0</v>
      </c>
      <c r="O109" s="84"/>
      <c r="P109" s="31"/>
      <c r="Q109" s="206"/>
      <c r="R109" s="282"/>
    </row>
    <row r="110" spans="1:18" s="90" customFormat="1" x14ac:dyDescent="0.2">
      <c r="A110" s="282"/>
      <c r="B110" s="205"/>
      <c r="C110" s="64"/>
      <c r="D110" s="76" t="s">
        <v>17</v>
      </c>
      <c r="E110" s="449" t="s">
        <v>130</v>
      </c>
      <c r="F110" s="451">
        <v>0</v>
      </c>
      <c r="G110" s="255">
        <f>$H$4</f>
        <v>0</v>
      </c>
      <c r="H110" s="255">
        <f>+G110*F110</f>
        <v>0</v>
      </c>
      <c r="I110" s="251"/>
      <c r="J110" s="80"/>
      <c r="K110" s="206"/>
      <c r="L110" s="205"/>
      <c r="M110" s="84"/>
      <c r="N110" s="92">
        <f>H110</f>
        <v>0</v>
      </c>
      <c r="O110" s="84"/>
      <c r="P110" s="31"/>
      <c r="Q110" s="206"/>
      <c r="R110" s="282"/>
    </row>
    <row r="111" spans="1:18" s="90" customFormat="1" x14ac:dyDescent="0.2">
      <c r="A111" s="282"/>
      <c r="B111" s="205"/>
      <c r="C111" s="64"/>
      <c r="D111" s="76" t="s">
        <v>14</v>
      </c>
      <c r="E111" s="462" t="s">
        <v>66</v>
      </c>
      <c r="F111" s="451">
        <f>E105</f>
        <v>19149.900000000001</v>
      </c>
      <c r="G111" s="255">
        <v>1</v>
      </c>
      <c r="H111" s="255">
        <f>+G111*F111</f>
        <v>19149.900000000001</v>
      </c>
      <c r="I111" s="251"/>
      <c r="J111" s="80"/>
      <c r="K111" s="206"/>
      <c r="L111" s="205"/>
      <c r="M111" s="84"/>
      <c r="N111" s="92"/>
      <c r="O111" s="84">
        <f>H111</f>
        <v>19149.900000000001</v>
      </c>
      <c r="P111" s="31"/>
      <c r="Q111" s="206"/>
      <c r="R111" s="282"/>
    </row>
    <row r="112" spans="1:18" s="90" customFormat="1" x14ac:dyDescent="0.2">
      <c r="A112" s="282"/>
      <c r="B112" s="243"/>
      <c r="C112" s="64"/>
      <c r="D112" s="76" t="s">
        <v>167</v>
      </c>
      <c r="E112" s="449" t="s">
        <v>127</v>
      </c>
      <c r="F112" s="456">
        <f>+G106+G107+G111</f>
        <v>5</v>
      </c>
      <c r="G112" s="254" t="s">
        <v>153</v>
      </c>
      <c r="H112" s="255">
        <f>SUM(H106:H111)</f>
        <v>161816.655</v>
      </c>
      <c r="I112" s="251"/>
      <c r="J112" s="80"/>
      <c r="K112" s="244"/>
      <c r="L112" s="243"/>
      <c r="M112" s="245"/>
      <c r="N112" s="246"/>
      <c r="O112" s="92"/>
      <c r="P112" s="31"/>
      <c r="Q112" s="244"/>
      <c r="R112" s="282"/>
    </row>
    <row r="113" spans="1:18" s="90" customFormat="1" x14ac:dyDescent="0.2">
      <c r="A113" s="282"/>
      <c r="B113" s="239"/>
      <c r="C113" s="64"/>
      <c r="D113" s="117" t="s">
        <v>152</v>
      </c>
      <c r="E113" s="449" t="s">
        <v>127</v>
      </c>
      <c r="F113" s="451">
        <f>+E105+F108*E108</f>
        <v>32363.331000000006</v>
      </c>
      <c r="G113" s="466"/>
      <c r="H113" s="255">
        <f>+((F113/2)*F112)/6</f>
        <v>13484.721250000002</v>
      </c>
      <c r="I113" s="256"/>
      <c r="J113" s="242"/>
      <c r="K113" s="240"/>
      <c r="L113" s="239"/>
      <c r="M113" s="84"/>
      <c r="N113" s="93"/>
      <c r="O113" s="94">
        <f>H113</f>
        <v>13484.721250000002</v>
      </c>
      <c r="P113" s="89"/>
      <c r="Q113" s="240"/>
      <c r="R113" s="282"/>
    </row>
    <row r="114" spans="1:18" s="90" customFormat="1" x14ac:dyDescent="0.2">
      <c r="A114" s="282"/>
      <c r="B114" s="239"/>
      <c r="C114" s="64"/>
      <c r="D114" s="117" t="s">
        <v>211</v>
      </c>
      <c r="E114" s="451"/>
      <c r="F114" s="451">
        <f>+E105+F108*E108</f>
        <v>32363.331000000006</v>
      </c>
      <c r="G114" s="454"/>
      <c r="H114" s="255">
        <f>+(F114/30)*((F112*30)/20)</f>
        <v>8090.8327500000005</v>
      </c>
      <c r="I114" s="257">
        <v>0</v>
      </c>
      <c r="J114" s="94">
        <f>+(H112+H113+H114)*C105</f>
        <v>183392.209</v>
      </c>
      <c r="K114" s="240"/>
      <c r="L114" s="239"/>
      <c r="M114" s="84"/>
      <c r="N114" s="93"/>
      <c r="O114" s="94">
        <f>H114</f>
        <v>8090.8327500000005</v>
      </c>
      <c r="P114" s="89"/>
      <c r="Q114" s="240"/>
      <c r="R114" s="282"/>
    </row>
    <row r="115" spans="1:18" s="90" customFormat="1" x14ac:dyDescent="0.2">
      <c r="A115" s="282"/>
      <c r="B115" s="205"/>
      <c r="C115" s="64"/>
      <c r="D115" s="95"/>
      <c r="E115" s="467"/>
      <c r="F115" s="456"/>
      <c r="G115" s="457"/>
      <c r="H115" s="458"/>
      <c r="I115" s="259"/>
      <c r="J115" s="80"/>
      <c r="K115" s="206"/>
      <c r="L115" s="205"/>
      <c r="M115" s="88"/>
      <c r="N115" s="80"/>
      <c r="O115" s="80"/>
      <c r="P115" s="89"/>
      <c r="Q115" s="206"/>
      <c r="R115" s="282"/>
    </row>
    <row r="116" spans="1:18" s="90" customFormat="1" ht="15" customHeight="1" x14ac:dyDescent="0.2">
      <c r="A116" s="282"/>
      <c r="B116" s="203"/>
      <c r="C116" s="13">
        <v>1</v>
      </c>
      <c r="D116" s="266" t="s">
        <v>173</v>
      </c>
      <c r="E116" s="18">
        <v>15044.45</v>
      </c>
      <c r="F116" s="247"/>
      <c r="G116" s="34"/>
      <c r="H116" s="248"/>
      <c r="I116" s="260"/>
      <c r="J116" s="151"/>
      <c r="K116" s="204"/>
      <c r="L116" s="203"/>
      <c r="M116" s="88"/>
      <c r="N116" s="80"/>
      <c r="O116" s="80"/>
      <c r="P116" s="89"/>
      <c r="Q116" s="204"/>
      <c r="R116" s="282"/>
    </row>
    <row r="117" spans="1:18" s="90" customFormat="1" x14ac:dyDescent="0.2">
      <c r="A117" s="282"/>
      <c r="B117" s="205"/>
      <c r="C117" s="64"/>
      <c r="D117" s="76" t="s">
        <v>93</v>
      </c>
      <c r="E117" s="78" t="s">
        <v>166</v>
      </c>
      <c r="F117" s="250">
        <f>E116</f>
        <v>15044.45</v>
      </c>
      <c r="G117" s="63">
        <v>1</v>
      </c>
      <c r="H117" s="28">
        <f t="shared" ref="H117:H122" si="3">+G117*F117</f>
        <v>15044.45</v>
      </c>
      <c r="I117" s="259"/>
      <c r="J117" s="80"/>
      <c r="K117" s="206"/>
      <c r="L117" s="205"/>
      <c r="M117" s="84">
        <f>H117</f>
        <v>15044.45</v>
      </c>
      <c r="N117" s="92"/>
      <c r="O117" s="84"/>
      <c r="P117" s="31"/>
      <c r="Q117" s="206"/>
      <c r="R117" s="282"/>
    </row>
    <row r="118" spans="1:18" s="90" customFormat="1" x14ac:dyDescent="0.2">
      <c r="A118" s="282"/>
      <c r="B118" s="205"/>
      <c r="C118" s="64"/>
      <c r="D118" s="76" t="s">
        <v>86</v>
      </c>
      <c r="E118" s="78" t="s">
        <v>166</v>
      </c>
      <c r="F118" s="250">
        <f>E116</f>
        <v>15044.45</v>
      </c>
      <c r="G118" s="252">
        <v>3</v>
      </c>
      <c r="H118" s="28">
        <f t="shared" si="3"/>
        <v>45133.350000000006</v>
      </c>
      <c r="I118" s="259"/>
      <c r="J118" s="80"/>
      <c r="K118" s="206"/>
      <c r="L118" s="205"/>
      <c r="M118" s="84"/>
      <c r="N118" s="92">
        <f>H118</f>
        <v>45133.350000000006</v>
      </c>
      <c r="O118" s="84"/>
      <c r="P118" s="31"/>
      <c r="Q118" s="206"/>
      <c r="R118" s="282"/>
    </row>
    <row r="119" spans="1:18" s="90" customFormat="1" x14ac:dyDescent="0.2">
      <c r="A119" s="282"/>
      <c r="B119" s="205"/>
      <c r="C119" s="64"/>
      <c r="D119" s="76" t="s">
        <v>168</v>
      </c>
      <c r="E119" s="253">
        <v>69</v>
      </c>
      <c r="F119" s="250">
        <f>E116/150*1.5</f>
        <v>150.44450000000001</v>
      </c>
      <c r="G119" s="63">
        <f>+F123</f>
        <v>4.5</v>
      </c>
      <c r="H119" s="28">
        <f>+G119*F119*E119</f>
        <v>46713.017250000004</v>
      </c>
      <c r="I119" s="259"/>
      <c r="J119" s="80"/>
      <c r="K119" s="206"/>
      <c r="L119" s="205"/>
      <c r="M119" s="84"/>
      <c r="N119" s="92">
        <f>H119</f>
        <v>46713.017250000004</v>
      </c>
      <c r="O119" s="84"/>
      <c r="P119" s="31"/>
      <c r="Q119" s="206"/>
      <c r="R119" s="282"/>
    </row>
    <row r="120" spans="1:18" s="90" customFormat="1" x14ac:dyDescent="0.2">
      <c r="A120" s="282"/>
      <c r="B120" s="205"/>
      <c r="C120" s="64"/>
      <c r="D120" s="76" t="s">
        <v>15</v>
      </c>
      <c r="E120" s="449" t="s">
        <v>130</v>
      </c>
      <c r="F120" s="451">
        <v>0</v>
      </c>
      <c r="G120" s="255">
        <f>$H$3</f>
        <v>0</v>
      </c>
      <c r="H120" s="255">
        <f t="shared" si="3"/>
        <v>0</v>
      </c>
      <c r="I120" s="468"/>
      <c r="J120" s="80"/>
      <c r="K120" s="206"/>
      <c r="L120" s="205"/>
      <c r="M120" s="84"/>
      <c r="N120" s="92">
        <f>H120</f>
        <v>0</v>
      </c>
      <c r="O120" s="84"/>
      <c r="P120" s="31"/>
      <c r="Q120" s="206"/>
      <c r="R120" s="282"/>
    </row>
    <row r="121" spans="1:18" s="90" customFormat="1" x14ac:dyDescent="0.2">
      <c r="A121" s="282"/>
      <c r="B121" s="205"/>
      <c r="C121" s="64"/>
      <c r="D121" s="76" t="s">
        <v>17</v>
      </c>
      <c r="E121" s="449" t="s">
        <v>130</v>
      </c>
      <c r="F121" s="451">
        <v>0</v>
      </c>
      <c r="G121" s="255">
        <f>$H$4</f>
        <v>0</v>
      </c>
      <c r="H121" s="255">
        <f t="shared" si="3"/>
        <v>0</v>
      </c>
      <c r="I121" s="468"/>
      <c r="J121" s="80"/>
      <c r="K121" s="206"/>
      <c r="L121" s="205"/>
      <c r="M121" s="84"/>
      <c r="N121" s="92">
        <f>H121</f>
        <v>0</v>
      </c>
      <c r="O121" s="84"/>
      <c r="P121" s="31"/>
      <c r="Q121" s="206"/>
      <c r="R121" s="282"/>
    </row>
    <row r="122" spans="1:18" s="90" customFormat="1" x14ac:dyDescent="0.2">
      <c r="A122" s="282"/>
      <c r="B122" s="205"/>
      <c r="C122" s="64"/>
      <c r="D122" s="76" t="s">
        <v>14</v>
      </c>
      <c r="E122" s="462" t="s">
        <v>66</v>
      </c>
      <c r="F122" s="451">
        <f>E116</f>
        <v>15044.45</v>
      </c>
      <c r="G122" s="463">
        <v>0.5</v>
      </c>
      <c r="H122" s="255">
        <f t="shared" si="3"/>
        <v>7522.2250000000004</v>
      </c>
      <c r="I122" s="468"/>
      <c r="J122" s="80"/>
      <c r="K122" s="206"/>
      <c r="L122" s="205"/>
      <c r="M122" s="84"/>
      <c r="N122" s="92"/>
      <c r="O122" s="84">
        <f>SUM(H122)</f>
        <v>7522.2250000000004</v>
      </c>
      <c r="P122" s="31"/>
      <c r="Q122" s="206"/>
      <c r="R122" s="282"/>
    </row>
    <row r="123" spans="1:18" s="90" customFormat="1" x14ac:dyDescent="0.2">
      <c r="A123" s="282"/>
      <c r="B123" s="243"/>
      <c r="C123" s="64"/>
      <c r="D123" s="76" t="s">
        <v>167</v>
      </c>
      <c r="E123" s="449" t="s">
        <v>127</v>
      </c>
      <c r="F123" s="456">
        <f>G117+G118+G122</f>
        <v>4.5</v>
      </c>
      <c r="G123" s="254" t="s">
        <v>153</v>
      </c>
      <c r="H123" s="255">
        <f>SUM(H117:H122)</f>
        <v>114413.04225000001</v>
      </c>
      <c r="I123" s="469"/>
      <c r="J123" s="80"/>
      <c r="K123" s="244"/>
      <c r="L123" s="243"/>
      <c r="M123" s="245"/>
      <c r="N123" s="246"/>
      <c r="O123" s="92"/>
      <c r="P123" s="31"/>
      <c r="Q123" s="244"/>
      <c r="R123" s="282"/>
    </row>
    <row r="124" spans="1:18" s="90" customFormat="1" x14ac:dyDescent="0.2">
      <c r="A124" s="282"/>
      <c r="B124" s="239"/>
      <c r="C124" s="64"/>
      <c r="D124" s="117" t="s">
        <v>152</v>
      </c>
      <c r="E124" s="449" t="s">
        <v>127</v>
      </c>
      <c r="F124" s="451">
        <f>+E116+F119*E119</f>
        <v>25425.120500000001</v>
      </c>
      <c r="G124" s="466"/>
      <c r="H124" s="255">
        <f>+((F124/2)*F123)/6</f>
        <v>9534.4201874999999</v>
      </c>
      <c r="I124" s="470"/>
      <c r="J124" s="242"/>
      <c r="K124" s="240"/>
      <c r="L124" s="239"/>
      <c r="M124" s="84"/>
      <c r="N124" s="93"/>
      <c r="O124" s="94">
        <f>H124</f>
        <v>9534.4201874999999</v>
      </c>
      <c r="P124" s="89"/>
      <c r="Q124" s="240"/>
      <c r="R124" s="282"/>
    </row>
    <row r="125" spans="1:18" s="90" customFormat="1" x14ac:dyDescent="0.2">
      <c r="A125" s="282"/>
      <c r="B125" s="239"/>
      <c r="C125" s="64"/>
      <c r="D125" s="117" t="s">
        <v>211</v>
      </c>
      <c r="E125" s="451"/>
      <c r="F125" s="451">
        <f>+E116+F119*E119</f>
        <v>25425.120500000001</v>
      </c>
      <c r="G125" s="454"/>
      <c r="H125" s="255">
        <f>+(F125/30)*((F123*30)/20)</f>
        <v>5720.6521124999999</v>
      </c>
      <c r="I125" s="471">
        <v>0</v>
      </c>
      <c r="J125" s="94">
        <f>+(H123+H124+H125)*C116</f>
        <v>129668.11455000001</v>
      </c>
      <c r="K125" s="240"/>
      <c r="L125" s="239"/>
      <c r="M125" s="84"/>
      <c r="N125" s="93"/>
      <c r="O125" s="94">
        <f>H125</f>
        <v>5720.6521124999999</v>
      </c>
      <c r="P125" s="89"/>
      <c r="Q125" s="240"/>
      <c r="R125" s="282"/>
    </row>
    <row r="126" spans="1:18" s="90" customFormat="1" x14ac:dyDescent="0.2">
      <c r="A126" s="282"/>
      <c r="B126" s="205"/>
      <c r="C126" s="64"/>
      <c r="D126" s="95"/>
      <c r="E126" s="455"/>
      <c r="F126" s="456"/>
      <c r="G126" s="457"/>
      <c r="H126" s="458"/>
      <c r="I126" s="468"/>
      <c r="J126" s="80"/>
      <c r="K126" s="206"/>
      <c r="L126" s="205"/>
      <c r="M126" s="88"/>
      <c r="N126" s="80"/>
      <c r="O126" s="80"/>
      <c r="P126" s="89"/>
      <c r="Q126" s="206"/>
      <c r="R126" s="282"/>
    </row>
    <row r="127" spans="1:18" s="90" customFormat="1" ht="15" customHeight="1" x14ac:dyDescent="0.2">
      <c r="A127" s="282"/>
      <c r="B127" s="203"/>
      <c r="C127" s="13">
        <v>1</v>
      </c>
      <c r="D127" s="266" t="s">
        <v>180</v>
      </c>
      <c r="E127" s="459">
        <v>19149.900000000001</v>
      </c>
      <c r="F127" s="456"/>
      <c r="G127" s="472"/>
      <c r="H127" s="461"/>
      <c r="I127" s="473"/>
      <c r="J127" s="151"/>
      <c r="K127" s="204"/>
      <c r="L127" s="203"/>
      <c r="M127" s="88"/>
      <c r="N127" s="80"/>
      <c r="O127" s="80"/>
      <c r="P127" s="89"/>
      <c r="Q127" s="204"/>
      <c r="R127" s="282"/>
    </row>
    <row r="128" spans="1:18" s="90" customFormat="1" x14ac:dyDescent="0.2">
      <c r="A128" s="282"/>
      <c r="B128" s="205"/>
      <c r="C128" s="64"/>
      <c r="D128" s="76" t="s">
        <v>93</v>
      </c>
      <c r="E128" s="462" t="s">
        <v>166</v>
      </c>
      <c r="F128" s="451">
        <f>E127</f>
        <v>19149.900000000001</v>
      </c>
      <c r="G128" s="463">
        <v>2</v>
      </c>
      <c r="H128" s="255">
        <f>+G128*F128</f>
        <v>38299.800000000003</v>
      </c>
      <c r="I128" s="468"/>
      <c r="J128" s="80"/>
      <c r="K128" s="206"/>
      <c r="L128" s="205"/>
      <c r="M128" s="84">
        <f>H128</f>
        <v>38299.800000000003</v>
      </c>
      <c r="N128" s="92"/>
      <c r="O128" s="84"/>
      <c r="P128" s="31"/>
      <c r="Q128" s="206"/>
      <c r="R128" s="282"/>
    </row>
    <row r="129" spans="1:18" s="90" customFormat="1" x14ac:dyDescent="0.2">
      <c r="A129" s="282"/>
      <c r="B129" s="205"/>
      <c r="C129" s="64"/>
      <c r="D129" s="76" t="s">
        <v>86</v>
      </c>
      <c r="E129" s="462" t="s">
        <v>166</v>
      </c>
      <c r="F129" s="451">
        <f>E127</f>
        <v>19149.900000000001</v>
      </c>
      <c r="G129" s="463">
        <v>1</v>
      </c>
      <c r="H129" s="255">
        <f>+G129*F129</f>
        <v>19149.900000000001</v>
      </c>
      <c r="I129" s="468"/>
      <c r="J129" s="80"/>
      <c r="K129" s="206"/>
      <c r="L129" s="205"/>
      <c r="M129" s="84"/>
      <c r="N129" s="92">
        <f>H129</f>
        <v>19149.900000000001</v>
      </c>
      <c r="O129" s="84"/>
      <c r="P129" s="31"/>
      <c r="Q129" s="206"/>
      <c r="R129" s="282"/>
    </row>
    <row r="130" spans="1:18" s="90" customFormat="1" x14ac:dyDescent="0.2">
      <c r="A130" s="282"/>
      <c r="B130" s="205"/>
      <c r="C130" s="64"/>
      <c r="D130" s="76" t="s">
        <v>168</v>
      </c>
      <c r="E130" s="465">
        <v>69</v>
      </c>
      <c r="F130" s="451">
        <f>E127/150*1.5</f>
        <v>191.49900000000002</v>
      </c>
      <c r="G130" s="463">
        <f>+F134</f>
        <v>3</v>
      </c>
      <c r="H130" s="255">
        <f>+G130*F130*E130</f>
        <v>39640.293000000005</v>
      </c>
      <c r="I130" s="468"/>
      <c r="J130" s="80"/>
      <c r="K130" s="206"/>
      <c r="L130" s="205"/>
      <c r="M130" s="84"/>
      <c r="N130" s="92">
        <f>H130</f>
        <v>39640.293000000005</v>
      </c>
      <c r="O130" s="84"/>
      <c r="P130" s="31"/>
      <c r="Q130" s="206"/>
      <c r="R130" s="282"/>
    </row>
    <row r="131" spans="1:18" s="90" customFormat="1" x14ac:dyDescent="0.2">
      <c r="A131" s="282"/>
      <c r="B131" s="205"/>
      <c r="C131" s="64"/>
      <c r="D131" s="76" t="s">
        <v>15</v>
      </c>
      <c r="E131" s="449" t="s">
        <v>130</v>
      </c>
      <c r="F131" s="451">
        <f>E127/5*1.5</f>
        <v>5744.9700000000012</v>
      </c>
      <c r="G131" s="255">
        <f>$H$3</f>
        <v>0</v>
      </c>
      <c r="H131" s="255">
        <f>+G131*F131</f>
        <v>0</v>
      </c>
      <c r="I131" s="468"/>
      <c r="J131" s="80"/>
      <c r="K131" s="206"/>
      <c r="L131" s="205"/>
      <c r="M131" s="84"/>
      <c r="N131" s="92">
        <f>H131</f>
        <v>0</v>
      </c>
      <c r="O131" s="84"/>
      <c r="P131" s="31"/>
      <c r="Q131" s="206"/>
      <c r="R131" s="282"/>
    </row>
    <row r="132" spans="1:18" s="90" customFormat="1" x14ac:dyDescent="0.2">
      <c r="A132" s="282"/>
      <c r="B132" s="205"/>
      <c r="C132" s="64"/>
      <c r="D132" s="76" t="s">
        <v>17</v>
      </c>
      <c r="E132" s="449" t="s">
        <v>130</v>
      </c>
      <c r="F132" s="451">
        <f>E127/5*2</f>
        <v>7659.9600000000009</v>
      </c>
      <c r="G132" s="255">
        <f>$H$4</f>
        <v>0</v>
      </c>
      <c r="H132" s="255">
        <f>+G132*F132</f>
        <v>0</v>
      </c>
      <c r="I132" s="468"/>
      <c r="J132" s="80"/>
      <c r="K132" s="206"/>
      <c r="L132" s="205"/>
      <c r="M132" s="84"/>
      <c r="N132" s="92">
        <f>H132</f>
        <v>0</v>
      </c>
      <c r="O132" s="84"/>
      <c r="P132" s="31"/>
      <c r="Q132" s="206"/>
      <c r="R132" s="282"/>
    </row>
    <row r="133" spans="1:18" s="90" customFormat="1" x14ac:dyDescent="0.2">
      <c r="A133" s="282"/>
      <c r="B133" s="205"/>
      <c r="C133" s="64"/>
      <c r="D133" s="76" t="s">
        <v>14</v>
      </c>
      <c r="E133" s="462" t="s">
        <v>66</v>
      </c>
      <c r="F133" s="451">
        <f>E127</f>
        <v>19149.900000000001</v>
      </c>
      <c r="G133" s="255">
        <v>0</v>
      </c>
      <c r="H133" s="255">
        <f>+G133*F133</f>
        <v>0</v>
      </c>
      <c r="I133" s="468"/>
      <c r="J133" s="80"/>
      <c r="K133" s="206"/>
      <c r="L133" s="205"/>
      <c r="M133" s="84"/>
      <c r="N133" s="92"/>
      <c r="O133" s="84">
        <f>H133</f>
        <v>0</v>
      </c>
      <c r="P133" s="31"/>
      <c r="Q133" s="206"/>
      <c r="R133" s="282"/>
    </row>
    <row r="134" spans="1:18" s="90" customFormat="1" x14ac:dyDescent="0.2">
      <c r="A134" s="282"/>
      <c r="B134" s="243"/>
      <c r="C134" s="64"/>
      <c r="D134" s="76" t="s">
        <v>167</v>
      </c>
      <c r="E134" s="449" t="s">
        <v>127</v>
      </c>
      <c r="F134" s="456">
        <f>+G128+G129+G133</f>
        <v>3</v>
      </c>
      <c r="G134" s="254" t="s">
        <v>153</v>
      </c>
      <c r="H134" s="255">
        <f>SUM(H128:H133)</f>
        <v>97089.993000000017</v>
      </c>
      <c r="I134" s="469"/>
      <c r="J134" s="80"/>
      <c r="K134" s="244"/>
      <c r="L134" s="243"/>
      <c r="M134" s="245"/>
      <c r="N134" s="246"/>
      <c r="O134" s="92"/>
      <c r="P134" s="31"/>
      <c r="Q134" s="244"/>
      <c r="R134" s="282"/>
    </row>
    <row r="135" spans="1:18" s="90" customFormat="1" x14ac:dyDescent="0.2">
      <c r="A135" s="282"/>
      <c r="B135" s="239"/>
      <c r="C135" s="64"/>
      <c r="D135" s="117" t="s">
        <v>152</v>
      </c>
      <c r="E135" s="449" t="s">
        <v>127</v>
      </c>
      <c r="F135" s="451">
        <f>+E127+F130*E130</f>
        <v>32363.331000000006</v>
      </c>
      <c r="G135" s="466"/>
      <c r="H135" s="255">
        <f>+((F135/2)*F134)/6</f>
        <v>8090.8327500000014</v>
      </c>
      <c r="I135" s="470"/>
      <c r="J135" s="242"/>
      <c r="K135" s="240"/>
      <c r="L135" s="239"/>
      <c r="M135" s="84"/>
      <c r="N135" s="93"/>
      <c r="O135" s="94">
        <f>H135</f>
        <v>8090.8327500000014</v>
      </c>
      <c r="P135" s="89"/>
      <c r="Q135" s="240"/>
      <c r="R135" s="282"/>
    </row>
    <row r="136" spans="1:18" s="90" customFormat="1" x14ac:dyDescent="0.2">
      <c r="A136" s="282"/>
      <c r="B136" s="239"/>
      <c r="C136" s="64"/>
      <c r="D136" s="117" t="s">
        <v>211</v>
      </c>
      <c r="E136" s="451"/>
      <c r="F136" s="451">
        <f>+E127+F130*E130</f>
        <v>32363.331000000006</v>
      </c>
      <c r="G136" s="454"/>
      <c r="H136" s="255">
        <f>+(F136/30)*((F134*30)/20)</f>
        <v>4854.4996500000007</v>
      </c>
      <c r="I136" s="471">
        <v>0</v>
      </c>
      <c r="J136" s="94">
        <f>+(H134+H135+H136)*C127</f>
        <v>110035.32540000002</v>
      </c>
      <c r="K136" s="240"/>
      <c r="L136" s="239"/>
      <c r="M136" s="84"/>
      <c r="N136" s="93"/>
      <c r="O136" s="94">
        <f>H136</f>
        <v>4854.4996500000007</v>
      </c>
      <c r="P136" s="89"/>
      <c r="Q136" s="240"/>
      <c r="R136" s="282"/>
    </row>
    <row r="137" spans="1:18" s="90" customFormat="1" x14ac:dyDescent="0.2">
      <c r="A137" s="282"/>
      <c r="B137" s="205"/>
      <c r="C137" s="64"/>
      <c r="D137" s="95"/>
      <c r="E137" s="261"/>
      <c r="F137" s="247"/>
      <c r="G137" s="258"/>
      <c r="H137" s="32"/>
      <c r="I137" s="259"/>
      <c r="J137" s="80"/>
      <c r="K137" s="206"/>
      <c r="L137" s="205"/>
      <c r="M137" s="88"/>
      <c r="N137" s="80"/>
      <c r="O137" s="80"/>
      <c r="P137" s="89"/>
      <c r="Q137" s="206"/>
      <c r="R137" s="282"/>
    </row>
    <row r="138" spans="1:18" s="90" customFormat="1" ht="21" customHeight="1" x14ac:dyDescent="0.2">
      <c r="A138" s="282"/>
      <c r="B138" s="403"/>
      <c r="C138" s="181">
        <f>SUM(C92:C135)</f>
        <v>4</v>
      </c>
      <c r="D138" s="95"/>
      <c r="E138" s="261"/>
      <c r="F138" s="247"/>
      <c r="G138" s="258"/>
      <c r="H138" s="32"/>
      <c r="I138" s="259"/>
      <c r="J138" s="80"/>
      <c r="K138" s="404"/>
      <c r="L138" s="403"/>
      <c r="M138" s="88"/>
      <c r="N138" s="80"/>
      <c r="O138" s="80"/>
      <c r="P138" s="89"/>
      <c r="Q138" s="404"/>
      <c r="R138" s="282"/>
    </row>
    <row r="139" spans="1:18" s="90" customFormat="1" ht="18" customHeight="1" x14ac:dyDescent="0.2">
      <c r="A139" s="282"/>
      <c r="B139" s="403"/>
      <c r="C139" s="64"/>
      <c r="D139" s="95"/>
      <c r="E139" s="261"/>
      <c r="F139" s="247"/>
      <c r="G139" s="258"/>
      <c r="H139" s="32"/>
      <c r="I139" s="259"/>
      <c r="J139" s="80"/>
      <c r="K139" s="404"/>
      <c r="L139" s="403"/>
      <c r="M139" s="88"/>
      <c r="N139" s="80"/>
      <c r="O139" s="80"/>
      <c r="P139" s="89"/>
      <c r="Q139" s="404"/>
      <c r="R139" s="282"/>
    </row>
    <row r="140" spans="1:18" s="90" customFormat="1" ht="15" customHeight="1" x14ac:dyDescent="0.2">
      <c r="A140" s="414"/>
      <c r="B140" s="367"/>
      <c r="C140" s="13"/>
      <c r="D140" s="415" t="s">
        <v>283</v>
      </c>
      <c r="E140" s="96"/>
      <c r="F140" s="85"/>
      <c r="G140" s="86"/>
      <c r="H140" s="416"/>
      <c r="I140" s="53"/>
      <c r="J140" s="53"/>
      <c r="K140" s="368"/>
      <c r="L140" s="367"/>
      <c r="M140" s="88"/>
      <c r="N140" s="80"/>
      <c r="O140" s="80"/>
      <c r="P140" s="89"/>
      <c r="Q140" s="368"/>
      <c r="R140" s="414"/>
    </row>
    <row r="141" spans="1:18" s="90" customFormat="1" ht="15" customHeight="1" x14ac:dyDescent="0.2">
      <c r="A141" s="282"/>
      <c r="B141" s="203"/>
      <c r="C141" s="13">
        <v>1</v>
      </c>
      <c r="D141" s="266" t="s">
        <v>172</v>
      </c>
      <c r="E141" s="18">
        <v>25325.33</v>
      </c>
      <c r="F141" s="247"/>
      <c r="G141" s="52"/>
      <c r="H141" s="248"/>
      <c r="I141" s="249"/>
      <c r="J141" s="151"/>
      <c r="K141" s="204"/>
      <c r="L141" s="203"/>
      <c r="M141" s="88"/>
      <c r="N141" s="80"/>
      <c r="O141" s="80"/>
      <c r="P141" s="89"/>
      <c r="Q141" s="204"/>
      <c r="R141" s="282"/>
    </row>
    <row r="142" spans="1:18" s="90" customFormat="1" x14ac:dyDescent="0.2">
      <c r="A142" s="282"/>
      <c r="B142" s="205"/>
      <c r="C142" s="64"/>
      <c r="D142" s="76" t="s">
        <v>93</v>
      </c>
      <c r="E142" s="78" t="s">
        <v>166</v>
      </c>
      <c r="F142" s="250">
        <f>E141</f>
        <v>25325.33</v>
      </c>
      <c r="G142" s="63">
        <v>0.5</v>
      </c>
      <c r="H142" s="28">
        <f>+G142*F142</f>
        <v>12662.665000000001</v>
      </c>
      <c r="I142" s="251"/>
      <c r="J142" s="80"/>
      <c r="K142" s="206"/>
      <c r="L142" s="205"/>
      <c r="M142" s="84">
        <f>H142</f>
        <v>12662.665000000001</v>
      </c>
      <c r="N142" s="92"/>
      <c r="O142" s="84"/>
      <c r="P142" s="31"/>
      <c r="Q142" s="206"/>
      <c r="R142" s="282"/>
    </row>
    <row r="143" spans="1:18" s="90" customFormat="1" x14ac:dyDescent="0.2">
      <c r="A143" s="282"/>
      <c r="B143" s="205"/>
      <c r="C143" s="64"/>
      <c r="D143" s="76" t="s">
        <v>86</v>
      </c>
      <c r="E143" s="78" t="s">
        <v>166</v>
      </c>
      <c r="F143" s="250">
        <f>E141</f>
        <v>25325.33</v>
      </c>
      <c r="G143" s="252">
        <v>3</v>
      </c>
      <c r="H143" s="28">
        <f>+G143*F143</f>
        <v>75975.990000000005</v>
      </c>
      <c r="I143" s="251"/>
      <c r="J143" s="80"/>
      <c r="K143" s="206"/>
      <c r="L143" s="205"/>
      <c r="M143" s="84"/>
      <c r="N143" s="92">
        <f>H143</f>
        <v>75975.990000000005</v>
      </c>
      <c r="O143" s="84"/>
      <c r="P143" s="31"/>
      <c r="Q143" s="206"/>
      <c r="R143" s="282"/>
    </row>
    <row r="144" spans="1:18" s="90" customFormat="1" x14ac:dyDescent="0.2">
      <c r="A144" s="282"/>
      <c r="B144" s="205"/>
      <c r="C144" s="64"/>
      <c r="D144" s="76" t="s">
        <v>168</v>
      </c>
      <c r="E144" s="253">
        <v>69</v>
      </c>
      <c r="F144" s="250">
        <f>E141/150*1.5</f>
        <v>253.25330000000002</v>
      </c>
      <c r="G144" s="63">
        <f>+F148</f>
        <v>3.5</v>
      </c>
      <c r="H144" s="28">
        <f>+G144*F144*E144</f>
        <v>61160.671950000004</v>
      </c>
      <c r="I144" s="251"/>
      <c r="J144" s="80"/>
      <c r="K144" s="206"/>
      <c r="L144" s="205"/>
      <c r="M144" s="84"/>
      <c r="N144" s="92">
        <f>H144</f>
        <v>61160.671950000004</v>
      </c>
      <c r="O144" s="84"/>
      <c r="P144" s="31"/>
      <c r="Q144" s="206"/>
      <c r="R144" s="282"/>
    </row>
    <row r="145" spans="1:18" s="90" customFormat="1" x14ac:dyDescent="0.2">
      <c r="A145" s="282"/>
      <c r="B145" s="205"/>
      <c r="C145" s="64"/>
      <c r="D145" s="76" t="s">
        <v>15</v>
      </c>
      <c r="E145" s="449" t="s">
        <v>130</v>
      </c>
      <c r="F145" s="451">
        <v>0</v>
      </c>
      <c r="G145" s="255">
        <f>$H$3</f>
        <v>0</v>
      </c>
      <c r="H145" s="255">
        <f>+G145*F145</f>
        <v>0</v>
      </c>
      <c r="I145" s="251"/>
      <c r="J145" s="80"/>
      <c r="K145" s="206"/>
      <c r="L145" s="205"/>
      <c r="M145" s="84"/>
      <c r="N145" s="92">
        <f>H145</f>
        <v>0</v>
      </c>
      <c r="O145" s="84"/>
      <c r="P145" s="31"/>
      <c r="Q145" s="206"/>
      <c r="R145" s="282"/>
    </row>
    <row r="146" spans="1:18" s="90" customFormat="1" x14ac:dyDescent="0.2">
      <c r="A146" s="282"/>
      <c r="B146" s="205"/>
      <c r="C146" s="64"/>
      <c r="D146" s="76" t="s">
        <v>17</v>
      </c>
      <c r="E146" s="449" t="s">
        <v>130</v>
      </c>
      <c r="F146" s="451">
        <v>0</v>
      </c>
      <c r="G146" s="255">
        <f>$H$4</f>
        <v>0</v>
      </c>
      <c r="H146" s="255">
        <f>+G146*F146</f>
        <v>0</v>
      </c>
      <c r="I146" s="251"/>
      <c r="J146" s="80"/>
      <c r="K146" s="206"/>
      <c r="L146" s="205"/>
      <c r="M146" s="84"/>
      <c r="N146" s="92">
        <f>H146</f>
        <v>0</v>
      </c>
      <c r="O146" s="84"/>
      <c r="P146" s="31"/>
      <c r="Q146" s="206"/>
      <c r="R146" s="282"/>
    </row>
    <row r="147" spans="1:18" s="90" customFormat="1" x14ac:dyDescent="0.2">
      <c r="A147" s="282"/>
      <c r="B147" s="205"/>
      <c r="C147" s="64"/>
      <c r="D147" s="76" t="s">
        <v>14</v>
      </c>
      <c r="E147" s="462" t="s">
        <v>66</v>
      </c>
      <c r="F147" s="451">
        <f>E141</f>
        <v>25325.33</v>
      </c>
      <c r="G147" s="255">
        <v>0</v>
      </c>
      <c r="H147" s="255">
        <f>+G147*F147</f>
        <v>0</v>
      </c>
      <c r="I147" s="251"/>
      <c r="J147" s="80"/>
      <c r="K147" s="206"/>
      <c r="L147" s="205"/>
      <c r="M147" s="84"/>
      <c r="N147" s="92"/>
      <c r="O147" s="84">
        <f>SUM(H147)</f>
        <v>0</v>
      </c>
      <c r="P147" s="31"/>
      <c r="Q147" s="206"/>
      <c r="R147" s="282"/>
    </row>
    <row r="148" spans="1:18" s="90" customFormat="1" x14ac:dyDescent="0.2">
      <c r="A148" s="282"/>
      <c r="B148" s="243"/>
      <c r="C148" s="64"/>
      <c r="D148" s="76" t="s">
        <v>167</v>
      </c>
      <c r="E148" s="449" t="s">
        <v>127</v>
      </c>
      <c r="F148" s="456">
        <f>+G142+G143+G147</f>
        <v>3.5</v>
      </c>
      <c r="G148" s="254" t="s">
        <v>153</v>
      </c>
      <c r="H148" s="255">
        <f>SUM(H142:H147)</f>
        <v>149799.32695000002</v>
      </c>
      <c r="I148" s="251"/>
      <c r="J148" s="80"/>
      <c r="K148" s="244"/>
      <c r="L148" s="243"/>
      <c r="M148" s="245"/>
      <c r="N148" s="246"/>
      <c r="O148" s="92"/>
      <c r="P148" s="31"/>
      <c r="Q148" s="244"/>
      <c r="R148" s="282"/>
    </row>
    <row r="149" spans="1:18" s="90" customFormat="1" x14ac:dyDescent="0.2">
      <c r="A149" s="282"/>
      <c r="B149" s="239"/>
      <c r="C149" s="64"/>
      <c r="D149" s="117" t="s">
        <v>152</v>
      </c>
      <c r="E149" s="449" t="s">
        <v>127</v>
      </c>
      <c r="F149" s="451">
        <f>+E141+F144*E144</f>
        <v>42799.807700000005</v>
      </c>
      <c r="G149" s="466"/>
      <c r="H149" s="255">
        <f>+((F102/2)*F148)/6</f>
        <v>12483.277245833335</v>
      </c>
      <c r="I149" s="256"/>
      <c r="J149" s="242"/>
      <c r="K149" s="240"/>
      <c r="L149" s="239"/>
      <c r="M149" s="84"/>
      <c r="N149" s="93"/>
      <c r="O149" s="94">
        <f>H149</f>
        <v>12483.277245833335</v>
      </c>
      <c r="P149" s="89"/>
      <c r="Q149" s="240"/>
      <c r="R149" s="282"/>
    </row>
    <row r="150" spans="1:18" s="90" customFormat="1" x14ac:dyDescent="0.2">
      <c r="A150" s="282"/>
      <c r="B150" s="205"/>
      <c r="C150" s="64"/>
      <c r="D150" s="117" t="s">
        <v>211</v>
      </c>
      <c r="E150" s="451"/>
      <c r="F150" s="451">
        <f>+E141+F144*E144</f>
        <v>42799.807700000005</v>
      </c>
      <c r="G150" s="454"/>
      <c r="H150" s="255">
        <f>+(F150/30)*((F148*30)/20)</f>
        <v>7489.9663475000007</v>
      </c>
      <c r="I150" s="257">
        <v>0</v>
      </c>
      <c r="J150" s="94">
        <f>+(H148+H149+H150)*C141</f>
        <v>169772.57054333336</v>
      </c>
      <c r="K150" s="206"/>
      <c r="L150" s="205"/>
      <c r="M150" s="84"/>
      <c r="N150" s="93"/>
      <c r="O150" s="94">
        <f>H150</f>
        <v>7489.9663475000007</v>
      </c>
      <c r="P150" s="89"/>
      <c r="Q150" s="206"/>
      <c r="R150" s="282"/>
    </row>
    <row r="151" spans="1:18" s="90" customFormat="1" x14ac:dyDescent="0.2">
      <c r="A151" s="282"/>
      <c r="B151" s="205"/>
      <c r="C151" s="64"/>
      <c r="D151" s="95"/>
      <c r="E151" s="455"/>
      <c r="F151" s="456"/>
      <c r="G151" s="457"/>
      <c r="H151" s="458"/>
      <c r="I151" s="259"/>
      <c r="J151" s="80"/>
      <c r="K151" s="206"/>
      <c r="L151" s="205"/>
      <c r="M151" s="88"/>
      <c r="N151" s="80"/>
      <c r="O151" s="80"/>
      <c r="P151" s="89"/>
      <c r="Q151" s="206"/>
      <c r="R151" s="282"/>
    </row>
    <row r="152" spans="1:18" s="90" customFormat="1" ht="15" customHeight="1" x14ac:dyDescent="0.2">
      <c r="A152" s="282"/>
      <c r="B152" s="203"/>
      <c r="C152" s="13">
        <v>2</v>
      </c>
      <c r="D152" s="266" t="s">
        <v>204</v>
      </c>
      <c r="E152" s="459">
        <v>15044.45</v>
      </c>
      <c r="F152" s="456"/>
      <c r="G152" s="472"/>
      <c r="H152" s="461"/>
      <c r="I152" s="260"/>
      <c r="J152" s="151"/>
      <c r="K152" s="204"/>
      <c r="L152" s="203"/>
      <c r="M152" s="88"/>
      <c r="N152" s="80"/>
      <c r="O152" s="80"/>
      <c r="P152" s="89"/>
      <c r="Q152" s="204"/>
      <c r="R152" s="282"/>
    </row>
    <row r="153" spans="1:18" s="90" customFormat="1" x14ac:dyDescent="0.2">
      <c r="A153" s="282"/>
      <c r="B153" s="243"/>
      <c r="C153" s="64"/>
      <c r="D153" s="76" t="s">
        <v>93</v>
      </c>
      <c r="E153" s="462" t="s">
        <v>166</v>
      </c>
      <c r="F153" s="451">
        <f>E152</f>
        <v>15044.45</v>
      </c>
      <c r="G153" s="463">
        <v>0.5</v>
      </c>
      <c r="H153" s="255">
        <f>+G153*F153</f>
        <v>7522.2250000000004</v>
      </c>
      <c r="I153" s="259"/>
      <c r="J153" s="80"/>
      <c r="K153" s="244"/>
      <c r="L153" s="243"/>
      <c r="M153" s="84">
        <f>H153</f>
        <v>7522.2250000000004</v>
      </c>
      <c r="N153" s="92"/>
      <c r="O153" s="84"/>
      <c r="P153" s="31"/>
      <c r="Q153" s="244"/>
      <c r="R153" s="282"/>
    </row>
    <row r="154" spans="1:18" s="90" customFormat="1" x14ac:dyDescent="0.2">
      <c r="A154" s="282"/>
      <c r="B154" s="243"/>
      <c r="C154" s="64"/>
      <c r="D154" s="76" t="s">
        <v>86</v>
      </c>
      <c r="E154" s="462" t="s">
        <v>166</v>
      </c>
      <c r="F154" s="451">
        <f>E152</f>
        <v>15044.45</v>
      </c>
      <c r="G154" s="464">
        <v>3</v>
      </c>
      <c r="H154" s="255">
        <f>+G154*F154</f>
        <v>45133.350000000006</v>
      </c>
      <c r="I154" s="259"/>
      <c r="J154" s="80"/>
      <c r="K154" s="244"/>
      <c r="L154" s="243"/>
      <c r="M154" s="84"/>
      <c r="N154" s="92">
        <f>H154</f>
        <v>45133.350000000006</v>
      </c>
      <c r="O154" s="84"/>
      <c r="P154" s="31"/>
      <c r="Q154" s="244"/>
      <c r="R154" s="282"/>
    </row>
    <row r="155" spans="1:18" s="90" customFormat="1" x14ac:dyDescent="0.2">
      <c r="A155" s="282"/>
      <c r="B155" s="243"/>
      <c r="C155" s="64"/>
      <c r="D155" s="76" t="s">
        <v>168</v>
      </c>
      <c r="E155" s="465">
        <v>69</v>
      </c>
      <c r="F155" s="451">
        <f>E152/150*1.5</f>
        <v>150.44450000000001</v>
      </c>
      <c r="G155" s="463">
        <f>+F159</f>
        <v>3.5</v>
      </c>
      <c r="H155" s="255">
        <f>+G155*F155*E155</f>
        <v>36332.346749999997</v>
      </c>
      <c r="I155" s="259"/>
      <c r="J155" s="80"/>
      <c r="K155" s="244"/>
      <c r="L155" s="243"/>
      <c r="M155" s="84"/>
      <c r="N155" s="92">
        <f>H155</f>
        <v>36332.346749999997</v>
      </c>
      <c r="O155" s="84"/>
      <c r="P155" s="31"/>
      <c r="Q155" s="244"/>
      <c r="R155" s="282"/>
    </row>
    <row r="156" spans="1:18" s="90" customFormat="1" x14ac:dyDescent="0.2">
      <c r="A156" s="282"/>
      <c r="B156" s="243"/>
      <c r="C156" s="64"/>
      <c r="D156" s="76" t="s">
        <v>15</v>
      </c>
      <c r="E156" s="449" t="s">
        <v>130</v>
      </c>
      <c r="F156" s="451">
        <v>0</v>
      </c>
      <c r="G156" s="255">
        <f>$H$3</f>
        <v>0</v>
      </c>
      <c r="H156" s="255">
        <f>+G156*F156</f>
        <v>0</v>
      </c>
      <c r="I156" s="259"/>
      <c r="J156" s="80"/>
      <c r="K156" s="244"/>
      <c r="L156" s="243"/>
      <c r="M156" s="84"/>
      <c r="N156" s="92">
        <f>H156</f>
        <v>0</v>
      </c>
      <c r="O156" s="84"/>
      <c r="P156" s="31"/>
      <c r="Q156" s="244"/>
      <c r="R156" s="282"/>
    </row>
    <row r="157" spans="1:18" s="90" customFormat="1" x14ac:dyDescent="0.2">
      <c r="A157" s="282"/>
      <c r="B157" s="243"/>
      <c r="C157" s="64"/>
      <c r="D157" s="76" t="s">
        <v>17</v>
      </c>
      <c r="E157" s="449" t="s">
        <v>130</v>
      </c>
      <c r="F157" s="451">
        <v>0</v>
      </c>
      <c r="G157" s="255">
        <f>$H$4</f>
        <v>0</v>
      </c>
      <c r="H157" s="255">
        <f>+G157*F157</f>
        <v>0</v>
      </c>
      <c r="I157" s="259"/>
      <c r="J157" s="80"/>
      <c r="K157" s="244"/>
      <c r="L157" s="243"/>
      <c r="M157" s="84"/>
      <c r="N157" s="92">
        <f>H157</f>
        <v>0</v>
      </c>
      <c r="O157" s="84"/>
      <c r="P157" s="31"/>
      <c r="Q157" s="244"/>
      <c r="R157" s="282"/>
    </row>
    <row r="158" spans="1:18" s="90" customFormat="1" x14ac:dyDescent="0.2">
      <c r="A158" s="282"/>
      <c r="B158" s="243"/>
      <c r="C158" s="64"/>
      <c r="D158" s="76" t="s">
        <v>14</v>
      </c>
      <c r="E158" s="462" t="s">
        <v>66</v>
      </c>
      <c r="F158" s="451">
        <f>E152</f>
        <v>15044.45</v>
      </c>
      <c r="G158" s="255">
        <v>0</v>
      </c>
      <c r="H158" s="255">
        <f>+G158*F158</f>
        <v>0</v>
      </c>
      <c r="I158" s="259"/>
      <c r="J158" s="80"/>
      <c r="K158" s="244"/>
      <c r="L158" s="243"/>
      <c r="M158" s="84"/>
      <c r="N158" s="92"/>
      <c r="O158" s="84">
        <f>SUM(H158)</f>
        <v>0</v>
      </c>
      <c r="P158" s="31"/>
      <c r="Q158" s="244"/>
      <c r="R158" s="282"/>
    </row>
    <row r="159" spans="1:18" s="90" customFormat="1" x14ac:dyDescent="0.2">
      <c r="A159" s="282"/>
      <c r="B159" s="243"/>
      <c r="C159" s="64"/>
      <c r="D159" s="76" t="s">
        <v>167</v>
      </c>
      <c r="E159" s="449" t="s">
        <v>127</v>
      </c>
      <c r="F159" s="456">
        <f>+G153+G154+G158</f>
        <v>3.5</v>
      </c>
      <c r="G159" s="254" t="s">
        <v>153</v>
      </c>
      <c r="H159" s="255">
        <f>SUM(H153:H158)</f>
        <v>88987.921750000009</v>
      </c>
      <c r="I159" s="251"/>
      <c r="J159" s="80"/>
      <c r="K159" s="244"/>
      <c r="L159" s="243"/>
      <c r="M159" s="245"/>
      <c r="N159" s="246"/>
      <c r="O159" s="92"/>
      <c r="P159" s="31"/>
      <c r="Q159" s="244"/>
      <c r="R159" s="282"/>
    </row>
    <row r="160" spans="1:18" s="90" customFormat="1" x14ac:dyDescent="0.2">
      <c r="A160" s="282"/>
      <c r="B160" s="243"/>
      <c r="C160" s="64"/>
      <c r="D160" s="117" t="s">
        <v>152</v>
      </c>
      <c r="E160" s="449" t="s">
        <v>127</v>
      </c>
      <c r="F160" s="451">
        <f>+E152+F155*E155</f>
        <v>25425.120500000001</v>
      </c>
      <c r="G160" s="466"/>
      <c r="H160" s="255">
        <f>+((F113/2)*F159)/6</f>
        <v>9439.3048750000016</v>
      </c>
      <c r="I160" s="256"/>
      <c r="J160" s="242"/>
      <c r="K160" s="244"/>
      <c r="L160" s="243"/>
      <c r="M160" s="84"/>
      <c r="N160" s="93"/>
      <c r="O160" s="94">
        <f>H160</f>
        <v>9439.3048750000016</v>
      </c>
      <c r="P160" s="89"/>
      <c r="Q160" s="244"/>
      <c r="R160" s="282"/>
    </row>
    <row r="161" spans="1:18" s="90" customFormat="1" x14ac:dyDescent="0.2">
      <c r="A161" s="282"/>
      <c r="B161" s="243"/>
      <c r="C161" s="64"/>
      <c r="D161" s="117" t="s">
        <v>211</v>
      </c>
      <c r="E161" s="451"/>
      <c r="F161" s="451">
        <f>+E152+F155*E155</f>
        <v>25425.120500000001</v>
      </c>
      <c r="G161" s="454"/>
      <c r="H161" s="255">
        <f>+(F161/30)*((F159*30)/20)</f>
        <v>4449.3960875000002</v>
      </c>
      <c r="I161" s="257">
        <v>0</v>
      </c>
      <c r="J161" s="94">
        <f>+(H159+H160+H161)*C152</f>
        <v>205753.24542500003</v>
      </c>
      <c r="K161" s="244"/>
      <c r="L161" s="243"/>
      <c r="M161" s="84"/>
      <c r="N161" s="93"/>
      <c r="O161" s="94">
        <f>H161</f>
        <v>4449.3960875000002</v>
      </c>
      <c r="P161" s="89"/>
      <c r="Q161" s="244"/>
      <c r="R161" s="282"/>
    </row>
    <row r="162" spans="1:18" s="90" customFormat="1" x14ac:dyDescent="0.2">
      <c r="A162" s="282"/>
      <c r="B162" s="243"/>
      <c r="C162" s="64"/>
      <c r="D162" s="95"/>
      <c r="E162" s="455"/>
      <c r="F162" s="456"/>
      <c r="G162" s="457"/>
      <c r="H162" s="458"/>
      <c r="I162" s="259"/>
      <c r="J162" s="80"/>
      <c r="K162" s="244"/>
      <c r="L162" s="243"/>
      <c r="M162" s="88"/>
      <c r="N162" s="80"/>
      <c r="O162" s="80"/>
      <c r="P162" s="89"/>
      <c r="Q162" s="244"/>
      <c r="R162" s="282"/>
    </row>
    <row r="163" spans="1:18" s="90" customFormat="1" ht="15" customHeight="1" x14ac:dyDescent="0.2">
      <c r="A163" s="282"/>
      <c r="B163" s="203"/>
      <c r="C163" s="13">
        <v>1</v>
      </c>
      <c r="D163" s="266" t="s">
        <v>176</v>
      </c>
      <c r="E163" s="459">
        <v>21984.36</v>
      </c>
      <c r="F163" s="456"/>
      <c r="G163" s="460"/>
      <c r="H163" s="461"/>
      <c r="I163" s="249"/>
      <c r="J163" s="151"/>
      <c r="K163" s="204"/>
      <c r="L163" s="203"/>
      <c r="M163" s="88"/>
      <c r="N163" s="80"/>
      <c r="O163" s="80"/>
      <c r="P163" s="89"/>
      <c r="Q163" s="204"/>
      <c r="R163" s="282"/>
    </row>
    <row r="164" spans="1:18" s="90" customFormat="1" x14ac:dyDescent="0.2">
      <c r="A164" s="282"/>
      <c r="B164" s="205"/>
      <c r="C164" s="64"/>
      <c r="D164" s="76" t="s">
        <v>93</v>
      </c>
      <c r="E164" s="462" t="s">
        <v>166</v>
      </c>
      <c r="F164" s="451">
        <f>E163</f>
        <v>21984.36</v>
      </c>
      <c r="G164" s="463">
        <v>1</v>
      </c>
      <c r="H164" s="255">
        <f>+G164*F164</f>
        <v>21984.36</v>
      </c>
      <c r="I164" s="251"/>
      <c r="J164" s="80"/>
      <c r="K164" s="206"/>
      <c r="L164" s="205"/>
      <c r="M164" s="84">
        <f>H164</f>
        <v>21984.36</v>
      </c>
      <c r="N164" s="92"/>
      <c r="O164" s="84"/>
      <c r="P164" s="31"/>
      <c r="Q164" s="206"/>
      <c r="R164" s="282"/>
    </row>
    <row r="165" spans="1:18" s="90" customFormat="1" x14ac:dyDescent="0.2">
      <c r="A165" s="282"/>
      <c r="B165" s="205"/>
      <c r="C165" s="64"/>
      <c r="D165" s="76" t="s">
        <v>86</v>
      </c>
      <c r="E165" s="462" t="s">
        <v>166</v>
      </c>
      <c r="F165" s="451">
        <f>E163</f>
        <v>21984.36</v>
      </c>
      <c r="G165" s="464">
        <v>3</v>
      </c>
      <c r="H165" s="255">
        <f>+G165*F165</f>
        <v>65953.08</v>
      </c>
      <c r="I165" s="251"/>
      <c r="J165" s="80"/>
      <c r="K165" s="206"/>
      <c r="L165" s="205"/>
      <c r="M165" s="84"/>
      <c r="N165" s="92">
        <f>H165</f>
        <v>65953.08</v>
      </c>
      <c r="O165" s="84"/>
      <c r="P165" s="31"/>
      <c r="Q165" s="206"/>
      <c r="R165" s="282"/>
    </row>
    <row r="166" spans="1:18" s="90" customFormat="1" x14ac:dyDescent="0.2">
      <c r="A166" s="282"/>
      <c r="B166" s="205"/>
      <c r="C166" s="64"/>
      <c r="D166" s="76" t="s">
        <v>168</v>
      </c>
      <c r="E166" s="253">
        <v>69</v>
      </c>
      <c r="F166" s="250">
        <f>E163/150*1.5</f>
        <v>219.84359999999998</v>
      </c>
      <c r="G166" s="63">
        <f>+F170</f>
        <v>4</v>
      </c>
      <c r="H166" s="28">
        <f>+G166*F166*E166</f>
        <v>60676.833599999998</v>
      </c>
      <c r="I166" s="251"/>
      <c r="J166" s="80"/>
      <c r="K166" s="206"/>
      <c r="L166" s="205"/>
      <c r="M166" s="84"/>
      <c r="N166" s="92">
        <f>H166</f>
        <v>60676.833599999998</v>
      </c>
      <c r="O166" s="84"/>
      <c r="P166" s="31"/>
      <c r="Q166" s="206"/>
      <c r="R166" s="282"/>
    </row>
    <row r="167" spans="1:18" s="90" customFormat="1" x14ac:dyDescent="0.2">
      <c r="A167" s="282"/>
      <c r="B167" s="205"/>
      <c r="C167" s="64"/>
      <c r="D167" s="76" t="s">
        <v>15</v>
      </c>
      <c r="E167" s="449" t="s">
        <v>130</v>
      </c>
      <c r="F167" s="451">
        <v>0</v>
      </c>
      <c r="G167" s="255">
        <f>$H$3</f>
        <v>0</v>
      </c>
      <c r="H167" s="255">
        <f>+G167*F167</f>
        <v>0</v>
      </c>
      <c r="I167" s="251"/>
      <c r="J167" s="80"/>
      <c r="K167" s="206"/>
      <c r="L167" s="205"/>
      <c r="M167" s="84"/>
      <c r="N167" s="92">
        <f>H167</f>
        <v>0</v>
      </c>
      <c r="O167" s="84"/>
      <c r="P167" s="31"/>
      <c r="Q167" s="206"/>
      <c r="R167" s="282"/>
    </row>
    <row r="168" spans="1:18" s="90" customFormat="1" x14ac:dyDescent="0.2">
      <c r="A168" s="282"/>
      <c r="B168" s="205"/>
      <c r="C168" s="64"/>
      <c r="D168" s="76" t="s">
        <v>17</v>
      </c>
      <c r="E168" s="449" t="s">
        <v>130</v>
      </c>
      <c r="F168" s="451">
        <v>0</v>
      </c>
      <c r="G168" s="255">
        <f>$H$4</f>
        <v>0</v>
      </c>
      <c r="H168" s="255">
        <f>+G168*F168</f>
        <v>0</v>
      </c>
      <c r="I168" s="251"/>
      <c r="J168" s="80"/>
      <c r="K168" s="206"/>
      <c r="L168" s="205"/>
      <c r="M168" s="84"/>
      <c r="N168" s="92">
        <f>H168</f>
        <v>0</v>
      </c>
      <c r="O168" s="84"/>
      <c r="P168" s="31"/>
      <c r="Q168" s="206"/>
      <c r="R168" s="282"/>
    </row>
    <row r="169" spans="1:18" s="90" customFormat="1" x14ac:dyDescent="0.2">
      <c r="A169" s="282"/>
      <c r="B169" s="205"/>
      <c r="C169" s="64"/>
      <c r="D169" s="76" t="s">
        <v>14</v>
      </c>
      <c r="E169" s="462" t="s">
        <v>66</v>
      </c>
      <c r="F169" s="451">
        <f>E163</f>
        <v>21984.36</v>
      </c>
      <c r="G169" s="255">
        <v>0</v>
      </c>
      <c r="H169" s="255">
        <f>+G169*F169</f>
        <v>0</v>
      </c>
      <c r="I169" s="251"/>
      <c r="J169" s="80"/>
      <c r="K169" s="206"/>
      <c r="L169" s="205"/>
      <c r="M169" s="84"/>
      <c r="N169" s="92"/>
      <c r="O169" s="84">
        <f>SUM(H169)</f>
        <v>0</v>
      </c>
      <c r="P169" s="31"/>
      <c r="Q169" s="206"/>
      <c r="R169" s="282"/>
    </row>
    <row r="170" spans="1:18" s="90" customFormat="1" x14ac:dyDescent="0.2">
      <c r="A170" s="282"/>
      <c r="B170" s="243"/>
      <c r="C170" s="64"/>
      <c r="D170" s="76" t="s">
        <v>167</v>
      </c>
      <c r="E170" s="449" t="s">
        <v>127</v>
      </c>
      <c r="F170" s="456">
        <f>+G164+G165+G169</f>
        <v>4</v>
      </c>
      <c r="G170" s="254" t="s">
        <v>153</v>
      </c>
      <c r="H170" s="255">
        <f>SUM(H164:H169)</f>
        <v>148614.27360000001</v>
      </c>
      <c r="I170" s="251"/>
      <c r="J170" s="80"/>
      <c r="K170" s="244"/>
      <c r="L170" s="243"/>
      <c r="M170" s="245"/>
      <c r="N170" s="246"/>
      <c r="O170" s="92"/>
      <c r="P170" s="31"/>
      <c r="Q170" s="244"/>
      <c r="R170" s="282"/>
    </row>
    <row r="171" spans="1:18" s="90" customFormat="1" x14ac:dyDescent="0.2">
      <c r="A171" s="282"/>
      <c r="B171" s="239"/>
      <c r="C171" s="64"/>
      <c r="D171" s="117" t="s">
        <v>152</v>
      </c>
      <c r="E171" s="449" t="s">
        <v>127</v>
      </c>
      <c r="F171" s="451">
        <f>+E163+(F166*69)</f>
        <v>37153.568400000004</v>
      </c>
      <c r="G171" s="466"/>
      <c r="H171" s="255">
        <f>+((F171/2)*F170)/6</f>
        <v>12384.522800000001</v>
      </c>
      <c r="I171" s="256"/>
      <c r="J171" s="242"/>
      <c r="K171" s="240"/>
      <c r="L171" s="239"/>
      <c r="M171" s="84"/>
      <c r="N171" s="93"/>
      <c r="O171" s="94">
        <f>H171</f>
        <v>12384.522800000001</v>
      </c>
      <c r="P171" s="89"/>
      <c r="Q171" s="240"/>
      <c r="R171" s="282"/>
    </row>
    <row r="172" spans="1:18" s="90" customFormat="1" x14ac:dyDescent="0.2">
      <c r="A172" s="282"/>
      <c r="B172" s="239"/>
      <c r="C172" s="64"/>
      <c r="D172" s="117" t="s">
        <v>211</v>
      </c>
      <c r="E172" s="451"/>
      <c r="F172" s="451">
        <f>+E163+F166*E166</f>
        <v>37153.568400000004</v>
      </c>
      <c r="G172" s="454"/>
      <c r="H172" s="255">
        <f>+(F172/30)*((F170*30)/20)</f>
        <v>7430.7136800000007</v>
      </c>
      <c r="I172" s="257">
        <v>0</v>
      </c>
      <c r="J172" s="94">
        <f>+(H170+H171+H172)*C163</f>
        <v>168429.51008000004</v>
      </c>
      <c r="K172" s="240"/>
      <c r="L172" s="239"/>
      <c r="M172" s="84"/>
      <c r="N172" s="93"/>
      <c r="O172" s="94">
        <f>H172</f>
        <v>7430.7136800000007</v>
      </c>
      <c r="P172" s="89"/>
      <c r="Q172" s="240"/>
      <c r="R172" s="282"/>
    </row>
    <row r="173" spans="1:18" s="90" customFormat="1" x14ac:dyDescent="0.2">
      <c r="A173" s="282"/>
      <c r="B173" s="205"/>
      <c r="C173" s="64"/>
      <c r="D173" s="95"/>
      <c r="E173" s="455"/>
      <c r="F173" s="456"/>
      <c r="G173" s="457"/>
      <c r="H173" s="458"/>
      <c r="I173" s="259"/>
      <c r="J173" s="80"/>
      <c r="K173" s="206"/>
      <c r="L173" s="205"/>
      <c r="M173" s="88"/>
      <c r="N173" s="80"/>
      <c r="O173" s="80"/>
      <c r="P173" s="89"/>
      <c r="Q173" s="206"/>
      <c r="R173" s="282"/>
    </row>
    <row r="174" spans="1:18" s="90" customFormat="1" ht="15" customHeight="1" x14ac:dyDescent="0.2">
      <c r="A174" s="282"/>
      <c r="B174" s="203"/>
      <c r="C174" s="13">
        <v>1</v>
      </c>
      <c r="D174" s="266" t="s">
        <v>177</v>
      </c>
      <c r="E174" s="459">
        <v>15044.45</v>
      </c>
      <c r="F174" s="456"/>
      <c r="G174" s="472"/>
      <c r="H174" s="461"/>
      <c r="I174" s="260"/>
      <c r="J174" s="151"/>
      <c r="K174" s="204"/>
      <c r="L174" s="203"/>
      <c r="M174" s="88"/>
      <c r="N174" s="80"/>
      <c r="O174" s="80"/>
      <c r="P174" s="89"/>
      <c r="Q174" s="204"/>
      <c r="R174" s="282"/>
    </row>
    <row r="175" spans="1:18" s="90" customFormat="1" x14ac:dyDescent="0.2">
      <c r="A175" s="282"/>
      <c r="B175" s="205"/>
      <c r="C175" s="64"/>
      <c r="D175" s="76" t="s">
        <v>93</v>
      </c>
      <c r="E175" s="462" t="s">
        <v>166</v>
      </c>
      <c r="F175" s="451">
        <f>E174</f>
        <v>15044.45</v>
      </c>
      <c r="G175" s="463">
        <v>1</v>
      </c>
      <c r="H175" s="255">
        <f>+G175*F175</f>
        <v>15044.45</v>
      </c>
      <c r="I175" s="259"/>
      <c r="J175" s="80"/>
      <c r="K175" s="206"/>
      <c r="L175" s="205"/>
      <c r="M175" s="84">
        <f>H175</f>
        <v>15044.45</v>
      </c>
      <c r="N175" s="92"/>
      <c r="O175" s="84"/>
      <c r="P175" s="31"/>
      <c r="Q175" s="206"/>
      <c r="R175" s="282"/>
    </row>
    <row r="176" spans="1:18" s="90" customFormat="1" x14ac:dyDescent="0.2">
      <c r="A176" s="282"/>
      <c r="B176" s="205"/>
      <c r="C176" s="64"/>
      <c r="D176" s="76" t="s">
        <v>86</v>
      </c>
      <c r="E176" s="462" t="s">
        <v>166</v>
      </c>
      <c r="F176" s="451">
        <f>E174</f>
        <v>15044.45</v>
      </c>
      <c r="G176" s="464">
        <v>3</v>
      </c>
      <c r="H176" s="255">
        <f>+G176*F176</f>
        <v>45133.350000000006</v>
      </c>
      <c r="I176" s="259"/>
      <c r="J176" s="80"/>
      <c r="K176" s="206"/>
      <c r="L176" s="205"/>
      <c r="M176" s="84"/>
      <c r="N176" s="92">
        <f>H176</f>
        <v>45133.350000000006</v>
      </c>
      <c r="O176" s="84"/>
      <c r="P176" s="31"/>
      <c r="Q176" s="206"/>
      <c r="R176" s="282"/>
    </row>
    <row r="177" spans="1:18" s="90" customFormat="1" x14ac:dyDescent="0.2">
      <c r="A177" s="282"/>
      <c r="B177" s="205"/>
      <c r="C177" s="64"/>
      <c r="D177" s="76" t="s">
        <v>168</v>
      </c>
      <c r="E177" s="465">
        <v>69</v>
      </c>
      <c r="F177" s="451">
        <f>E174/150*1.5</f>
        <v>150.44450000000001</v>
      </c>
      <c r="G177" s="463">
        <f>+F181</f>
        <v>4</v>
      </c>
      <c r="H177" s="255">
        <f>+G177*F177*E177</f>
        <v>41522.682000000001</v>
      </c>
      <c r="I177" s="259"/>
      <c r="J177" s="80"/>
      <c r="K177" s="206"/>
      <c r="L177" s="205"/>
      <c r="M177" s="84"/>
      <c r="N177" s="92">
        <f>H177</f>
        <v>41522.682000000001</v>
      </c>
      <c r="O177" s="84"/>
      <c r="P177" s="31"/>
      <c r="Q177" s="206"/>
      <c r="R177" s="282"/>
    </row>
    <row r="178" spans="1:18" s="90" customFormat="1" x14ac:dyDescent="0.2">
      <c r="A178" s="282"/>
      <c r="B178" s="205"/>
      <c r="C178" s="64"/>
      <c r="D178" s="76" t="s">
        <v>15</v>
      </c>
      <c r="E178" s="449" t="s">
        <v>130</v>
      </c>
      <c r="F178" s="451">
        <v>0</v>
      </c>
      <c r="G178" s="255">
        <f>$H$3</f>
        <v>0</v>
      </c>
      <c r="H178" s="255">
        <f>+G178*F178</f>
        <v>0</v>
      </c>
      <c r="I178" s="259"/>
      <c r="J178" s="80"/>
      <c r="K178" s="206"/>
      <c r="L178" s="205"/>
      <c r="M178" s="84"/>
      <c r="N178" s="92">
        <f>H178</f>
        <v>0</v>
      </c>
      <c r="O178" s="84"/>
      <c r="P178" s="31"/>
      <c r="Q178" s="206"/>
      <c r="R178" s="282"/>
    </row>
    <row r="179" spans="1:18" s="90" customFormat="1" x14ac:dyDescent="0.2">
      <c r="A179" s="282"/>
      <c r="B179" s="205"/>
      <c r="C179" s="64"/>
      <c r="D179" s="76" t="s">
        <v>17</v>
      </c>
      <c r="E179" s="449" t="s">
        <v>130</v>
      </c>
      <c r="F179" s="451">
        <v>0</v>
      </c>
      <c r="G179" s="255">
        <f>$H$4</f>
        <v>0</v>
      </c>
      <c r="H179" s="255">
        <f>+G179*F179</f>
        <v>0</v>
      </c>
      <c r="I179" s="259"/>
      <c r="J179" s="80"/>
      <c r="K179" s="206"/>
      <c r="L179" s="205"/>
      <c r="M179" s="84"/>
      <c r="N179" s="92">
        <f>H179</f>
        <v>0</v>
      </c>
      <c r="O179" s="84"/>
      <c r="P179" s="31"/>
      <c r="Q179" s="206"/>
      <c r="R179" s="282"/>
    </row>
    <row r="180" spans="1:18" s="90" customFormat="1" x14ac:dyDescent="0.2">
      <c r="A180" s="282"/>
      <c r="B180" s="205"/>
      <c r="C180" s="64"/>
      <c r="D180" s="76" t="s">
        <v>14</v>
      </c>
      <c r="E180" s="462" t="s">
        <v>66</v>
      </c>
      <c r="F180" s="451">
        <f>E174</f>
        <v>15044.45</v>
      </c>
      <c r="G180" s="255">
        <v>0</v>
      </c>
      <c r="H180" s="255">
        <f>+G180*F180</f>
        <v>0</v>
      </c>
      <c r="I180" s="259"/>
      <c r="J180" s="80"/>
      <c r="K180" s="206"/>
      <c r="L180" s="205"/>
      <c r="M180" s="84"/>
      <c r="N180" s="92"/>
      <c r="O180" s="84">
        <f>SUM(H180)</f>
        <v>0</v>
      </c>
      <c r="P180" s="31"/>
      <c r="Q180" s="206"/>
      <c r="R180" s="282"/>
    </row>
    <row r="181" spans="1:18" s="90" customFormat="1" x14ac:dyDescent="0.2">
      <c r="A181" s="282"/>
      <c r="B181" s="243"/>
      <c r="C181" s="64"/>
      <c r="D181" s="76" t="s">
        <v>167</v>
      </c>
      <c r="E181" s="449" t="s">
        <v>127</v>
      </c>
      <c r="F181" s="456">
        <f>+G175+G176+G180</f>
        <v>4</v>
      </c>
      <c r="G181" s="254" t="s">
        <v>153</v>
      </c>
      <c r="H181" s="255">
        <f>SUM(H175:H180)</f>
        <v>101700.482</v>
      </c>
      <c r="I181" s="251"/>
      <c r="J181" s="80"/>
      <c r="K181" s="244"/>
      <c r="L181" s="243"/>
      <c r="M181" s="245"/>
      <c r="N181" s="246"/>
      <c r="O181" s="92"/>
      <c r="P181" s="31"/>
      <c r="Q181" s="244"/>
      <c r="R181" s="282"/>
    </row>
    <row r="182" spans="1:18" s="90" customFormat="1" x14ac:dyDescent="0.2">
      <c r="A182" s="282"/>
      <c r="B182" s="239"/>
      <c r="C182" s="64"/>
      <c r="D182" s="117" t="s">
        <v>152</v>
      </c>
      <c r="E182" s="449" t="s">
        <v>127</v>
      </c>
      <c r="F182" s="451">
        <f>+E174+F177*E177</f>
        <v>25425.120500000001</v>
      </c>
      <c r="G182" s="466"/>
      <c r="H182" s="255">
        <f>+((F182/2)*F181)/6</f>
        <v>8475.0401666666676</v>
      </c>
      <c r="I182" s="256"/>
      <c r="J182" s="242"/>
      <c r="K182" s="240"/>
      <c r="L182" s="239"/>
      <c r="M182" s="84"/>
      <c r="N182" s="93"/>
      <c r="O182" s="94">
        <f>H182</f>
        <v>8475.0401666666676</v>
      </c>
      <c r="P182" s="89"/>
      <c r="Q182" s="240"/>
      <c r="R182" s="282"/>
    </row>
    <row r="183" spans="1:18" s="90" customFormat="1" x14ac:dyDescent="0.2">
      <c r="A183" s="282"/>
      <c r="B183" s="239"/>
      <c r="C183" s="64"/>
      <c r="D183" s="117" t="s">
        <v>211</v>
      </c>
      <c r="E183" s="451"/>
      <c r="F183" s="451">
        <f>+E174+F177*E177</f>
        <v>25425.120500000001</v>
      </c>
      <c r="G183" s="454"/>
      <c r="H183" s="255">
        <f>+(F183/30)*((F181*30)/20)</f>
        <v>5085.0240999999996</v>
      </c>
      <c r="I183" s="257">
        <v>0</v>
      </c>
      <c r="J183" s="94">
        <f>+(H181+H182+H183)*C174</f>
        <v>115260.54626666667</v>
      </c>
      <c r="K183" s="240"/>
      <c r="L183" s="239"/>
      <c r="M183" s="84"/>
      <c r="N183" s="93"/>
      <c r="O183" s="94">
        <f>H183</f>
        <v>5085.0240999999996</v>
      </c>
      <c r="P183" s="89"/>
      <c r="Q183" s="240"/>
      <c r="R183" s="282"/>
    </row>
    <row r="184" spans="1:18" s="90" customFormat="1" x14ac:dyDescent="0.2">
      <c r="A184" s="282"/>
      <c r="B184" s="205"/>
      <c r="C184" s="64"/>
      <c r="D184" s="95"/>
      <c r="E184" s="455"/>
      <c r="F184" s="456"/>
      <c r="G184" s="457"/>
      <c r="H184" s="458"/>
      <c r="I184" s="259"/>
      <c r="J184" s="80"/>
      <c r="K184" s="206"/>
      <c r="L184" s="205"/>
      <c r="M184" s="88"/>
      <c r="N184" s="80"/>
      <c r="O184" s="80"/>
      <c r="P184" s="89"/>
      <c r="Q184" s="206"/>
      <c r="R184" s="282"/>
    </row>
    <row r="185" spans="1:18" s="90" customFormat="1" ht="15" customHeight="1" x14ac:dyDescent="0.2">
      <c r="A185" s="282"/>
      <c r="B185" s="203"/>
      <c r="C185" s="13">
        <v>1</v>
      </c>
      <c r="D185" s="266" t="s">
        <v>178</v>
      </c>
      <c r="E185" s="459">
        <v>19149.900000000001</v>
      </c>
      <c r="F185" s="456"/>
      <c r="G185" s="472"/>
      <c r="H185" s="461"/>
      <c r="I185" s="260"/>
      <c r="J185" s="151"/>
      <c r="K185" s="204"/>
      <c r="L185" s="203"/>
      <c r="M185" s="88"/>
      <c r="N185" s="80"/>
      <c r="O185" s="80"/>
      <c r="P185" s="89"/>
      <c r="Q185" s="204"/>
      <c r="R185" s="282"/>
    </row>
    <row r="186" spans="1:18" s="90" customFormat="1" x14ac:dyDescent="0.2">
      <c r="A186" s="282"/>
      <c r="B186" s="205"/>
      <c r="C186" s="64"/>
      <c r="D186" s="76" t="s">
        <v>93</v>
      </c>
      <c r="E186" s="78" t="s">
        <v>166</v>
      </c>
      <c r="F186" s="250">
        <f>E185</f>
        <v>19149.900000000001</v>
      </c>
      <c r="G186" s="63">
        <v>0.5</v>
      </c>
      <c r="H186" s="28">
        <f t="shared" ref="H186:H191" si="4">+G186*F186</f>
        <v>9574.9500000000007</v>
      </c>
      <c r="I186" s="259"/>
      <c r="J186" s="80"/>
      <c r="K186" s="206"/>
      <c r="L186" s="205"/>
      <c r="M186" s="84">
        <f>H186</f>
        <v>9574.9500000000007</v>
      </c>
      <c r="N186" s="92"/>
      <c r="O186" s="84"/>
      <c r="P186" s="31"/>
      <c r="Q186" s="206"/>
      <c r="R186" s="282"/>
    </row>
    <row r="187" spans="1:18" s="90" customFormat="1" x14ac:dyDescent="0.2">
      <c r="A187" s="282"/>
      <c r="B187" s="205"/>
      <c r="C187" s="64"/>
      <c r="D187" s="76" t="s">
        <v>86</v>
      </c>
      <c r="E187" s="462" t="s">
        <v>166</v>
      </c>
      <c r="F187" s="451">
        <f>E185</f>
        <v>19149.900000000001</v>
      </c>
      <c r="G187" s="464">
        <v>3</v>
      </c>
      <c r="H187" s="255">
        <f t="shared" si="4"/>
        <v>57449.700000000004</v>
      </c>
      <c r="I187" s="259"/>
      <c r="J187" s="80"/>
      <c r="K187" s="206"/>
      <c r="L187" s="205"/>
      <c r="M187" s="84"/>
      <c r="N187" s="92">
        <f>H187</f>
        <v>57449.700000000004</v>
      </c>
      <c r="O187" s="84"/>
      <c r="P187" s="31"/>
      <c r="Q187" s="206"/>
      <c r="R187" s="282"/>
    </row>
    <row r="188" spans="1:18" s="90" customFormat="1" x14ac:dyDescent="0.2">
      <c r="A188" s="282"/>
      <c r="B188" s="205"/>
      <c r="C188" s="64"/>
      <c r="D188" s="76" t="s">
        <v>168</v>
      </c>
      <c r="E188" s="465">
        <v>69</v>
      </c>
      <c r="F188" s="451">
        <f>E185/150*1.5</f>
        <v>191.49900000000002</v>
      </c>
      <c r="G188" s="463">
        <f>+F192</f>
        <v>3.5</v>
      </c>
      <c r="H188" s="255">
        <f>+G188*F188*E188</f>
        <v>46247.008500000004</v>
      </c>
      <c r="I188" s="259"/>
      <c r="J188" s="80"/>
      <c r="K188" s="206"/>
      <c r="L188" s="205"/>
      <c r="M188" s="84"/>
      <c r="N188" s="92">
        <f>H188</f>
        <v>46247.008500000004</v>
      </c>
      <c r="O188" s="84"/>
      <c r="P188" s="31"/>
      <c r="Q188" s="206"/>
      <c r="R188" s="282"/>
    </row>
    <row r="189" spans="1:18" s="90" customFormat="1" x14ac:dyDescent="0.2">
      <c r="A189" s="282"/>
      <c r="B189" s="205"/>
      <c r="C189" s="64"/>
      <c r="D189" s="76" t="s">
        <v>15</v>
      </c>
      <c r="E189" s="449" t="s">
        <v>130</v>
      </c>
      <c r="F189" s="451">
        <f>E185/5*1.5</f>
        <v>5744.9700000000012</v>
      </c>
      <c r="G189" s="255">
        <f>$H$3</f>
        <v>0</v>
      </c>
      <c r="H189" s="255">
        <f t="shared" si="4"/>
        <v>0</v>
      </c>
      <c r="I189" s="259"/>
      <c r="J189" s="80"/>
      <c r="K189" s="206"/>
      <c r="L189" s="205"/>
      <c r="M189" s="84"/>
      <c r="N189" s="92">
        <f>H189</f>
        <v>0</v>
      </c>
      <c r="O189" s="84"/>
      <c r="P189" s="31"/>
      <c r="Q189" s="206"/>
      <c r="R189" s="282"/>
    </row>
    <row r="190" spans="1:18" s="90" customFormat="1" x14ac:dyDescent="0.2">
      <c r="A190" s="282"/>
      <c r="B190" s="205"/>
      <c r="C190" s="64"/>
      <c r="D190" s="76" t="s">
        <v>17</v>
      </c>
      <c r="E190" s="449" t="s">
        <v>130</v>
      </c>
      <c r="F190" s="451">
        <f>E185/5*2</f>
        <v>7659.9600000000009</v>
      </c>
      <c r="G190" s="255">
        <f>$H$4</f>
        <v>0</v>
      </c>
      <c r="H190" s="255">
        <f t="shared" si="4"/>
        <v>0</v>
      </c>
      <c r="I190" s="259"/>
      <c r="J190" s="80"/>
      <c r="K190" s="206"/>
      <c r="L190" s="205"/>
      <c r="M190" s="84"/>
      <c r="N190" s="92">
        <f>H190</f>
        <v>0</v>
      </c>
      <c r="O190" s="84"/>
      <c r="P190" s="31"/>
      <c r="Q190" s="206"/>
      <c r="R190" s="282"/>
    </row>
    <row r="191" spans="1:18" s="90" customFormat="1" x14ac:dyDescent="0.2">
      <c r="A191" s="282"/>
      <c r="B191" s="205"/>
      <c r="C191" s="64"/>
      <c r="D191" s="76" t="s">
        <v>14</v>
      </c>
      <c r="E191" s="462" t="s">
        <v>66</v>
      </c>
      <c r="F191" s="451">
        <f>E185</f>
        <v>19149.900000000001</v>
      </c>
      <c r="G191" s="255">
        <v>0</v>
      </c>
      <c r="H191" s="255">
        <f t="shared" si="4"/>
        <v>0</v>
      </c>
      <c r="I191" s="259"/>
      <c r="J191" s="80"/>
      <c r="K191" s="206"/>
      <c r="L191" s="205"/>
      <c r="M191" s="84"/>
      <c r="N191" s="92"/>
      <c r="O191" s="84">
        <f>SUM(H191)</f>
        <v>0</v>
      </c>
      <c r="P191" s="31"/>
      <c r="Q191" s="206"/>
      <c r="R191" s="282"/>
    </row>
    <row r="192" spans="1:18" s="90" customFormat="1" x14ac:dyDescent="0.2">
      <c r="A192" s="282"/>
      <c r="B192" s="243"/>
      <c r="C192" s="64"/>
      <c r="D192" s="76" t="s">
        <v>167</v>
      </c>
      <c r="E192" s="449" t="s">
        <v>127</v>
      </c>
      <c r="F192" s="456">
        <f>+G186+G187+G191</f>
        <v>3.5</v>
      </c>
      <c r="G192" s="254" t="s">
        <v>153</v>
      </c>
      <c r="H192" s="255">
        <f>SUM(H186:H191)</f>
        <v>113271.65850000002</v>
      </c>
      <c r="I192" s="251"/>
      <c r="J192" s="80"/>
      <c r="K192" s="244"/>
      <c r="L192" s="243"/>
      <c r="M192" s="245"/>
      <c r="N192" s="246"/>
      <c r="O192" s="92"/>
      <c r="P192" s="31"/>
      <c r="Q192" s="244"/>
      <c r="R192" s="282"/>
    </row>
    <row r="193" spans="1:18" s="90" customFormat="1" x14ac:dyDescent="0.2">
      <c r="A193" s="282"/>
      <c r="B193" s="239"/>
      <c r="C193" s="64"/>
      <c r="D193" s="117" t="s">
        <v>152</v>
      </c>
      <c r="E193" s="449" t="s">
        <v>127</v>
      </c>
      <c r="F193" s="451">
        <f>+E185+F188*E188</f>
        <v>32363.331000000006</v>
      </c>
      <c r="G193" s="466"/>
      <c r="H193" s="255">
        <f>+((F193/2)*F192)/6</f>
        <v>9439.3048750000016</v>
      </c>
      <c r="I193" s="256"/>
      <c r="J193" s="242"/>
      <c r="K193" s="240"/>
      <c r="L193" s="239"/>
      <c r="M193" s="84"/>
      <c r="N193" s="93"/>
      <c r="O193" s="94">
        <f>H193</f>
        <v>9439.3048750000016</v>
      </c>
      <c r="P193" s="89"/>
      <c r="Q193" s="240"/>
      <c r="R193" s="282"/>
    </row>
    <row r="194" spans="1:18" s="90" customFormat="1" x14ac:dyDescent="0.2">
      <c r="A194" s="282"/>
      <c r="B194" s="239"/>
      <c r="C194" s="64"/>
      <c r="D194" s="117" t="s">
        <v>211</v>
      </c>
      <c r="E194" s="451"/>
      <c r="F194" s="451">
        <f>+E185+F188*E188</f>
        <v>32363.331000000006</v>
      </c>
      <c r="G194" s="454"/>
      <c r="H194" s="255">
        <f>+(F194/30)*((F192*30)/20)</f>
        <v>5663.5829250000006</v>
      </c>
      <c r="I194" s="257">
        <v>0</v>
      </c>
      <c r="J194" s="94">
        <f>+(H192+H193+H194)*C185</f>
        <v>128374.54630000002</v>
      </c>
      <c r="K194" s="240"/>
      <c r="L194" s="239"/>
      <c r="M194" s="84"/>
      <c r="N194" s="93"/>
      <c r="O194" s="94">
        <f>H194</f>
        <v>5663.5829250000006</v>
      </c>
      <c r="P194" s="89"/>
      <c r="Q194" s="240"/>
      <c r="R194" s="282"/>
    </row>
    <row r="195" spans="1:18" s="90" customFormat="1" x14ac:dyDescent="0.2">
      <c r="A195" s="282"/>
      <c r="B195" s="205"/>
      <c r="C195" s="64"/>
      <c r="D195" s="95"/>
      <c r="E195" s="455"/>
      <c r="F195" s="456"/>
      <c r="G195" s="457"/>
      <c r="H195" s="458"/>
      <c r="I195" s="259"/>
      <c r="J195" s="80"/>
      <c r="K195" s="206"/>
      <c r="L195" s="205"/>
      <c r="M195" s="88"/>
      <c r="N195" s="80"/>
      <c r="O195" s="80"/>
      <c r="P195" s="89"/>
      <c r="Q195" s="206"/>
      <c r="R195" s="282"/>
    </row>
    <row r="196" spans="1:18" s="90" customFormat="1" ht="15" customHeight="1" x14ac:dyDescent="0.2">
      <c r="A196" s="282"/>
      <c r="B196" s="203"/>
      <c r="C196" s="13">
        <v>1</v>
      </c>
      <c r="D196" s="266" t="s">
        <v>179</v>
      </c>
      <c r="E196" s="459">
        <v>16308.65</v>
      </c>
      <c r="F196" s="456"/>
      <c r="G196" s="472"/>
      <c r="H196" s="461"/>
      <c r="I196" s="260"/>
      <c r="J196" s="151"/>
      <c r="K196" s="204"/>
      <c r="L196" s="203"/>
      <c r="M196" s="88"/>
      <c r="N196" s="80"/>
      <c r="O196" s="80"/>
      <c r="P196" s="89"/>
      <c r="Q196" s="204"/>
      <c r="R196" s="282"/>
    </row>
    <row r="197" spans="1:18" s="90" customFormat="1" x14ac:dyDescent="0.2">
      <c r="A197" s="282"/>
      <c r="B197" s="205"/>
      <c r="C197" s="64"/>
      <c r="D197" s="76" t="s">
        <v>93</v>
      </c>
      <c r="E197" s="462" t="s">
        <v>166</v>
      </c>
      <c r="F197" s="451">
        <f>E196</f>
        <v>16308.65</v>
      </c>
      <c r="G197" s="463">
        <v>0.25</v>
      </c>
      <c r="H197" s="255">
        <f>+G197*F197</f>
        <v>4077.1624999999999</v>
      </c>
      <c r="I197" s="259"/>
      <c r="J197" s="80"/>
      <c r="K197" s="206"/>
      <c r="L197" s="205"/>
      <c r="M197" s="84">
        <f>H197</f>
        <v>4077.1624999999999</v>
      </c>
      <c r="N197" s="92"/>
      <c r="O197" s="84"/>
      <c r="P197" s="31"/>
      <c r="Q197" s="206"/>
      <c r="R197" s="282"/>
    </row>
    <row r="198" spans="1:18" s="90" customFormat="1" x14ac:dyDescent="0.2">
      <c r="A198" s="282"/>
      <c r="B198" s="205"/>
      <c r="C198" s="64"/>
      <c r="D198" s="76" t="s">
        <v>86</v>
      </c>
      <c r="E198" s="462" t="s">
        <v>166</v>
      </c>
      <c r="F198" s="451">
        <f>E196</f>
        <v>16308.65</v>
      </c>
      <c r="G198" s="464">
        <v>3</v>
      </c>
      <c r="H198" s="255">
        <f>+G198*F198</f>
        <v>48925.95</v>
      </c>
      <c r="I198" s="259"/>
      <c r="J198" s="80"/>
      <c r="K198" s="206"/>
      <c r="L198" s="205"/>
      <c r="M198" s="84"/>
      <c r="N198" s="92">
        <f>H198</f>
        <v>48925.95</v>
      </c>
      <c r="O198" s="84"/>
      <c r="P198" s="31"/>
      <c r="Q198" s="206"/>
      <c r="R198" s="282"/>
    </row>
    <row r="199" spans="1:18" s="90" customFormat="1" x14ac:dyDescent="0.2">
      <c r="A199" s="282"/>
      <c r="B199" s="205"/>
      <c r="C199" s="64"/>
      <c r="D199" s="76" t="s">
        <v>168</v>
      </c>
      <c r="E199" s="465">
        <v>69</v>
      </c>
      <c r="F199" s="451">
        <f>E196/150*1.5</f>
        <v>163.0865</v>
      </c>
      <c r="G199" s="463">
        <f>+F203</f>
        <v>3.25</v>
      </c>
      <c r="H199" s="255">
        <f>+G199*F199*E199</f>
        <v>36572.147624999998</v>
      </c>
      <c r="I199" s="259"/>
      <c r="J199" s="80"/>
      <c r="K199" s="206"/>
      <c r="L199" s="205"/>
      <c r="M199" s="84"/>
      <c r="N199" s="92">
        <f>H199</f>
        <v>36572.147624999998</v>
      </c>
      <c r="O199" s="84"/>
      <c r="P199" s="31"/>
      <c r="Q199" s="206"/>
      <c r="R199" s="282"/>
    </row>
    <row r="200" spans="1:18" s="90" customFormat="1" x14ac:dyDescent="0.2">
      <c r="A200" s="282"/>
      <c r="B200" s="205"/>
      <c r="C200" s="64"/>
      <c r="D200" s="76" t="s">
        <v>15</v>
      </c>
      <c r="E200" s="449" t="s">
        <v>130</v>
      </c>
      <c r="F200" s="451">
        <f>E196/5*1.5</f>
        <v>4892.5950000000003</v>
      </c>
      <c r="G200" s="255">
        <f>$H$3</f>
        <v>0</v>
      </c>
      <c r="H200" s="255">
        <f>+G200*F200</f>
        <v>0</v>
      </c>
      <c r="I200" s="259"/>
      <c r="J200" s="80"/>
      <c r="K200" s="206"/>
      <c r="L200" s="205"/>
      <c r="M200" s="84"/>
      <c r="N200" s="92">
        <f>H200</f>
        <v>0</v>
      </c>
      <c r="O200" s="84"/>
      <c r="P200" s="31"/>
      <c r="Q200" s="206"/>
      <c r="R200" s="282"/>
    </row>
    <row r="201" spans="1:18" s="90" customFormat="1" x14ac:dyDescent="0.2">
      <c r="A201" s="282"/>
      <c r="B201" s="205"/>
      <c r="C201" s="64"/>
      <c r="D201" s="76" t="s">
        <v>17</v>
      </c>
      <c r="E201" s="449" t="s">
        <v>130</v>
      </c>
      <c r="F201" s="451">
        <f>E196/5*2</f>
        <v>6523.46</v>
      </c>
      <c r="G201" s="255">
        <f>$H$4</f>
        <v>0</v>
      </c>
      <c r="H201" s="255">
        <f>+G201*F201</f>
        <v>0</v>
      </c>
      <c r="I201" s="259"/>
      <c r="J201" s="80"/>
      <c r="K201" s="206"/>
      <c r="L201" s="205"/>
      <c r="M201" s="84"/>
      <c r="N201" s="92">
        <f>H201</f>
        <v>0</v>
      </c>
      <c r="O201" s="84"/>
      <c r="P201" s="31"/>
      <c r="Q201" s="206"/>
      <c r="R201" s="282"/>
    </row>
    <row r="202" spans="1:18" s="90" customFormat="1" x14ac:dyDescent="0.2">
      <c r="A202" s="282"/>
      <c r="B202" s="205"/>
      <c r="C202" s="64"/>
      <c r="D202" s="76" t="s">
        <v>14</v>
      </c>
      <c r="E202" s="462" t="s">
        <v>66</v>
      </c>
      <c r="F202" s="451">
        <f>E196</f>
        <v>16308.65</v>
      </c>
      <c r="G202" s="255">
        <v>0</v>
      </c>
      <c r="H202" s="255">
        <f>+G202*F202</f>
        <v>0</v>
      </c>
      <c r="I202" s="259"/>
      <c r="J202" s="80"/>
      <c r="K202" s="206"/>
      <c r="L202" s="205"/>
      <c r="M202" s="84"/>
      <c r="N202" s="92"/>
      <c r="O202" s="84">
        <f>SUM(H202)</f>
        <v>0</v>
      </c>
      <c r="P202" s="31"/>
      <c r="Q202" s="206"/>
      <c r="R202" s="282"/>
    </row>
    <row r="203" spans="1:18" s="90" customFormat="1" x14ac:dyDescent="0.2">
      <c r="A203" s="282"/>
      <c r="B203" s="243"/>
      <c r="C203" s="64"/>
      <c r="D203" s="76" t="s">
        <v>167</v>
      </c>
      <c r="E203" s="449" t="s">
        <v>127</v>
      </c>
      <c r="F203" s="456">
        <f>+G197+G198+G202</f>
        <v>3.25</v>
      </c>
      <c r="G203" s="254" t="s">
        <v>153</v>
      </c>
      <c r="H203" s="255">
        <f>SUM(H197:H202)</f>
        <v>89575.260125000001</v>
      </c>
      <c r="I203" s="251"/>
      <c r="J203" s="80"/>
      <c r="K203" s="244"/>
      <c r="L203" s="243"/>
      <c r="M203" s="245"/>
      <c r="N203" s="246"/>
      <c r="O203" s="92"/>
      <c r="P203" s="31"/>
      <c r="Q203" s="244"/>
      <c r="R203" s="282"/>
    </row>
    <row r="204" spans="1:18" s="90" customFormat="1" x14ac:dyDescent="0.2">
      <c r="A204" s="282"/>
      <c r="B204" s="239"/>
      <c r="C204" s="64"/>
      <c r="D204" s="117" t="s">
        <v>152</v>
      </c>
      <c r="E204" s="449" t="s">
        <v>127</v>
      </c>
      <c r="F204" s="451">
        <f>+E196+F199*E199</f>
        <v>27561.6185</v>
      </c>
      <c r="G204" s="466"/>
      <c r="H204" s="255">
        <f>+((F204/2)*F203)/6</f>
        <v>7464.605010416667</v>
      </c>
      <c r="I204" s="256"/>
      <c r="J204" s="242"/>
      <c r="K204" s="240"/>
      <c r="L204" s="239"/>
      <c r="M204" s="84"/>
      <c r="N204" s="93"/>
      <c r="O204" s="94">
        <f>H204</f>
        <v>7464.605010416667</v>
      </c>
      <c r="P204" s="89"/>
      <c r="Q204" s="240"/>
      <c r="R204" s="282"/>
    </row>
    <row r="205" spans="1:18" s="90" customFormat="1" x14ac:dyDescent="0.2">
      <c r="A205" s="282"/>
      <c r="B205" s="239"/>
      <c r="C205" s="64"/>
      <c r="D205" s="117" t="s">
        <v>211</v>
      </c>
      <c r="E205" s="451"/>
      <c r="F205" s="451">
        <f>+E196+F199*E199</f>
        <v>27561.6185</v>
      </c>
      <c r="G205" s="454"/>
      <c r="H205" s="255">
        <f>+(F205/30)*((F203*30)/20)</f>
        <v>4478.7630062500002</v>
      </c>
      <c r="I205" s="257">
        <v>0</v>
      </c>
      <c r="J205" s="94">
        <f>+(H203+H204+H205)*C196</f>
        <v>101518.62814166666</v>
      </c>
      <c r="K205" s="240"/>
      <c r="L205" s="239"/>
      <c r="M205" s="84"/>
      <c r="N205" s="93"/>
      <c r="O205" s="94">
        <f>H205</f>
        <v>4478.7630062500002</v>
      </c>
      <c r="P205" s="89"/>
      <c r="Q205" s="240"/>
      <c r="R205" s="282"/>
    </row>
    <row r="206" spans="1:18" s="90" customFormat="1" x14ac:dyDescent="0.2">
      <c r="A206" s="282"/>
      <c r="B206" s="205"/>
      <c r="C206" s="64"/>
      <c r="D206" s="95"/>
      <c r="E206" s="467"/>
      <c r="F206" s="456"/>
      <c r="G206" s="457"/>
      <c r="H206" s="458"/>
      <c r="I206" s="259"/>
      <c r="J206" s="80"/>
      <c r="K206" s="206"/>
      <c r="L206" s="205"/>
      <c r="M206" s="88"/>
      <c r="N206" s="80"/>
      <c r="O206" s="80"/>
      <c r="P206" s="89"/>
      <c r="Q206" s="206"/>
      <c r="R206" s="282"/>
    </row>
    <row r="207" spans="1:18" s="90" customFormat="1" ht="15" customHeight="1" x14ac:dyDescent="0.2">
      <c r="A207" s="282"/>
      <c r="B207" s="203"/>
      <c r="C207" s="13">
        <v>1</v>
      </c>
      <c r="D207" s="266" t="s">
        <v>181</v>
      </c>
      <c r="E207" s="459">
        <v>21984.36</v>
      </c>
      <c r="F207" s="456"/>
      <c r="G207" s="460"/>
      <c r="H207" s="461"/>
      <c r="I207" s="249"/>
      <c r="J207" s="151"/>
      <c r="K207" s="204"/>
      <c r="L207" s="203"/>
      <c r="M207" s="88"/>
      <c r="N207" s="80"/>
      <c r="O207" s="80"/>
      <c r="P207" s="89"/>
      <c r="Q207" s="204"/>
      <c r="R207" s="282"/>
    </row>
    <row r="208" spans="1:18" s="90" customFormat="1" x14ac:dyDescent="0.2">
      <c r="A208" s="282"/>
      <c r="B208" s="205"/>
      <c r="C208" s="64"/>
      <c r="D208" s="76" t="s">
        <v>93</v>
      </c>
      <c r="E208" s="78" t="s">
        <v>166</v>
      </c>
      <c r="F208" s="250">
        <f>E207</f>
        <v>21984.36</v>
      </c>
      <c r="G208" s="63">
        <v>1</v>
      </c>
      <c r="H208" s="28">
        <f>+G208*F208</f>
        <v>21984.36</v>
      </c>
      <c r="I208" s="251"/>
      <c r="J208" s="80"/>
      <c r="K208" s="206"/>
      <c r="L208" s="205"/>
      <c r="M208" s="84">
        <f>H208</f>
        <v>21984.36</v>
      </c>
      <c r="N208" s="92"/>
      <c r="O208" s="84"/>
      <c r="P208" s="31"/>
      <c r="Q208" s="206"/>
      <c r="R208" s="282"/>
    </row>
    <row r="209" spans="1:18" s="90" customFormat="1" x14ac:dyDescent="0.2">
      <c r="A209" s="282"/>
      <c r="B209" s="205"/>
      <c r="C209" s="64"/>
      <c r="D209" s="76" t="s">
        <v>86</v>
      </c>
      <c r="E209" s="462" t="s">
        <v>166</v>
      </c>
      <c r="F209" s="451">
        <f>E207</f>
        <v>21984.36</v>
      </c>
      <c r="G209" s="463">
        <v>3</v>
      </c>
      <c r="H209" s="255">
        <f>+G209*F209</f>
        <v>65953.08</v>
      </c>
      <c r="I209" s="251"/>
      <c r="J209" s="80"/>
      <c r="K209" s="206"/>
      <c r="L209" s="205"/>
      <c r="M209" s="84"/>
      <c r="N209" s="92">
        <f>H209</f>
        <v>65953.08</v>
      </c>
      <c r="O209" s="84"/>
      <c r="P209" s="31"/>
      <c r="Q209" s="206"/>
      <c r="R209" s="282"/>
    </row>
    <row r="210" spans="1:18" s="90" customFormat="1" x14ac:dyDescent="0.2">
      <c r="A210" s="282"/>
      <c r="B210" s="205"/>
      <c r="C210" s="64"/>
      <c r="D210" s="76" t="s">
        <v>168</v>
      </c>
      <c r="E210" s="465">
        <v>69</v>
      </c>
      <c r="F210" s="451">
        <f>E207/150*1.5</f>
        <v>219.84359999999998</v>
      </c>
      <c r="G210" s="463">
        <f>+F214</f>
        <v>4</v>
      </c>
      <c r="H210" s="255">
        <f>+G210*F210*E210</f>
        <v>60676.833599999998</v>
      </c>
      <c r="I210" s="251"/>
      <c r="J210" s="80"/>
      <c r="K210" s="206"/>
      <c r="L210" s="205"/>
      <c r="M210" s="84"/>
      <c r="N210" s="92">
        <f>H210</f>
        <v>60676.833599999998</v>
      </c>
      <c r="O210" s="84"/>
      <c r="P210" s="31"/>
      <c r="Q210" s="206"/>
      <c r="R210" s="282"/>
    </row>
    <row r="211" spans="1:18" s="90" customFormat="1" x14ac:dyDescent="0.2">
      <c r="A211" s="282"/>
      <c r="B211" s="205"/>
      <c r="C211" s="64"/>
      <c r="D211" s="76" t="s">
        <v>15</v>
      </c>
      <c r="E211" s="449" t="s">
        <v>130</v>
      </c>
      <c r="F211" s="451">
        <v>0</v>
      </c>
      <c r="G211" s="255">
        <f>$H$3</f>
        <v>0</v>
      </c>
      <c r="H211" s="255">
        <f>+G211*F211</f>
        <v>0</v>
      </c>
      <c r="I211" s="251"/>
      <c r="J211" s="80"/>
      <c r="K211" s="206"/>
      <c r="L211" s="205"/>
      <c r="M211" s="84"/>
      <c r="N211" s="92">
        <f>H211</f>
        <v>0</v>
      </c>
      <c r="O211" s="84"/>
      <c r="P211" s="31"/>
      <c r="Q211" s="206"/>
      <c r="R211" s="282"/>
    </row>
    <row r="212" spans="1:18" s="90" customFormat="1" x14ac:dyDescent="0.2">
      <c r="A212" s="282"/>
      <c r="B212" s="205"/>
      <c r="C212" s="64"/>
      <c r="D212" s="76" t="s">
        <v>17</v>
      </c>
      <c r="E212" s="449" t="s">
        <v>130</v>
      </c>
      <c r="F212" s="451">
        <v>0</v>
      </c>
      <c r="G212" s="255">
        <f>$H$4</f>
        <v>0</v>
      </c>
      <c r="H212" s="255">
        <f>+G212*F212</f>
        <v>0</v>
      </c>
      <c r="I212" s="251"/>
      <c r="J212" s="80"/>
      <c r="K212" s="206"/>
      <c r="L212" s="205"/>
      <c r="M212" s="84"/>
      <c r="N212" s="92">
        <f>H212</f>
        <v>0</v>
      </c>
      <c r="O212" s="84"/>
      <c r="P212" s="31"/>
      <c r="Q212" s="206"/>
      <c r="R212" s="282"/>
    </row>
    <row r="213" spans="1:18" s="90" customFormat="1" x14ac:dyDescent="0.2">
      <c r="A213" s="282"/>
      <c r="B213" s="205"/>
      <c r="C213" s="64"/>
      <c r="D213" s="76" t="s">
        <v>14</v>
      </c>
      <c r="E213" s="462" t="s">
        <v>66</v>
      </c>
      <c r="F213" s="451">
        <f>E207</f>
        <v>21984.36</v>
      </c>
      <c r="G213" s="255">
        <v>0</v>
      </c>
      <c r="H213" s="255">
        <f>+G213*F213</f>
        <v>0</v>
      </c>
      <c r="I213" s="251"/>
      <c r="J213" s="80"/>
      <c r="K213" s="206"/>
      <c r="L213" s="205"/>
      <c r="M213" s="84"/>
      <c r="N213" s="92"/>
      <c r="O213" s="84">
        <f>SUM(H213)</f>
        <v>0</v>
      </c>
      <c r="P213" s="31"/>
      <c r="Q213" s="206"/>
      <c r="R213" s="282"/>
    </row>
    <row r="214" spans="1:18" s="90" customFormat="1" x14ac:dyDescent="0.2">
      <c r="A214" s="282"/>
      <c r="B214" s="243"/>
      <c r="C214" s="64"/>
      <c r="D214" s="76" t="s">
        <v>167</v>
      </c>
      <c r="E214" s="449" t="s">
        <v>127</v>
      </c>
      <c r="F214" s="456">
        <f>+G208+G209+G213</f>
        <v>4</v>
      </c>
      <c r="G214" s="254" t="s">
        <v>153</v>
      </c>
      <c r="H214" s="255">
        <f>SUM(H208:H213)</f>
        <v>148614.27360000001</v>
      </c>
      <c r="I214" s="251"/>
      <c r="J214" s="80"/>
      <c r="K214" s="244"/>
      <c r="L214" s="243"/>
      <c r="M214" s="245"/>
      <c r="N214" s="246"/>
      <c r="O214" s="92"/>
      <c r="P214" s="31"/>
      <c r="Q214" s="244"/>
      <c r="R214" s="282"/>
    </row>
    <row r="215" spans="1:18" s="90" customFormat="1" x14ac:dyDescent="0.2">
      <c r="A215" s="282"/>
      <c r="B215" s="239"/>
      <c r="C215" s="64"/>
      <c r="D215" s="117" t="s">
        <v>152</v>
      </c>
      <c r="E215" s="449" t="s">
        <v>127</v>
      </c>
      <c r="F215" s="451">
        <f>+E207+F210*E210</f>
        <v>37153.568400000004</v>
      </c>
      <c r="G215" s="466"/>
      <c r="H215" s="255">
        <f>+((F215/2)*F214)/6</f>
        <v>12384.522800000001</v>
      </c>
      <c r="I215" s="256"/>
      <c r="J215" s="242"/>
      <c r="K215" s="240"/>
      <c r="L215" s="239"/>
      <c r="M215" s="84"/>
      <c r="N215" s="93"/>
      <c r="O215" s="94">
        <f>H215</f>
        <v>12384.522800000001</v>
      </c>
      <c r="P215" s="89"/>
      <c r="Q215" s="240"/>
      <c r="R215" s="282"/>
    </row>
    <row r="216" spans="1:18" s="90" customFormat="1" x14ac:dyDescent="0.2">
      <c r="A216" s="282"/>
      <c r="B216" s="239"/>
      <c r="C216" s="64"/>
      <c r="D216" s="117" t="s">
        <v>211</v>
      </c>
      <c r="E216" s="451"/>
      <c r="F216" s="451">
        <f>+E207+F210*E210</f>
        <v>37153.568400000004</v>
      </c>
      <c r="G216" s="454"/>
      <c r="H216" s="255">
        <f>+(F216/30)*((F214*30)/20)</f>
        <v>7430.7136800000007</v>
      </c>
      <c r="I216" s="257">
        <v>0</v>
      </c>
      <c r="J216" s="94">
        <f>+(H214+H215+H216)*C207</f>
        <v>168429.51008000004</v>
      </c>
      <c r="K216" s="240"/>
      <c r="L216" s="239"/>
      <c r="M216" s="84"/>
      <c r="N216" s="93"/>
      <c r="O216" s="94">
        <f>H216</f>
        <v>7430.7136800000007</v>
      </c>
      <c r="P216" s="89"/>
      <c r="Q216" s="240"/>
      <c r="R216" s="282"/>
    </row>
    <row r="217" spans="1:18" s="90" customFormat="1" x14ac:dyDescent="0.2">
      <c r="A217" s="282"/>
      <c r="B217" s="205"/>
      <c r="C217" s="64"/>
      <c r="D217" s="95"/>
      <c r="E217" s="455"/>
      <c r="F217" s="456"/>
      <c r="G217" s="457"/>
      <c r="H217" s="458"/>
      <c r="I217" s="259"/>
      <c r="J217" s="80"/>
      <c r="K217" s="206"/>
      <c r="L217" s="205"/>
      <c r="M217" s="88"/>
      <c r="N217" s="80"/>
      <c r="O217" s="80"/>
      <c r="P217" s="89"/>
      <c r="Q217" s="206"/>
      <c r="R217" s="282"/>
    </row>
    <row r="218" spans="1:18" s="90" customFormat="1" ht="15" customHeight="1" x14ac:dyDescent="0.2">
      <c r="A218" s="282"/>
      <c r="B218" s="203"/>
      <c r="C218" s="13">
        <v>1</v>
      </c>
      <c r="D218" s="266" t="s">
        <v>182</v>
      </c>
      <c r="E218" s="459">
        <v>19149.900000000001</v>
      </c>
      <c r="F218" s="456"/>
      <c r="G218" s="472"/>
      <c r="H218" s="461"/>
      <c r="I218" s="260"/>
      <c r="J218" s="151"/>
      <c r="K218" s="204"/>
      <c r="L218" s="203"/>
      <c r="M218" s="88"/>
      <c r="N218" s="80"/>
      <c r="O218" s="80"/>
      <c r="P218" s="89"/>
      <c r="Q218" s="204"/>
      <c r="R218" s="282"/>
    </row>
    <row r="219" spans="1:18" s="90" customFormat="1" x14ac:dyDescent="0.2">
      <c r="A219" s="282"/>
      <c r="B219" s="205"/>
      <c r="C219" s="64"/>
      <c r="D219" s="76" t="s">
        <v>93</v>
      </c>
      <c r="E219" s="462" t="s">
        <v>166</v>
      </c>
      <c r="F219" s="451">
        <f>E218</f>
        <v>19149.900000000001</v>
      </c>
      <c r="G219" s="463">
        <v>0.25</v>
      </c>
      <c r="H219" s="255">
        <f t="shared" ref="H219:H224" si="5">+G219*F219</f>
        <v>4787.4750000000004</v>
      </c>
      <c r="I219" s="259"/>
      <c r="J219" s="80"/>
      <c r="K219" s="206"/>
      <c r="L219" s="205"/>
      <c r="M219" s="84">
        <f>H219</f>
        <v>4787.4750000000004</v>
      </c>
      <c r="N219" s="92"/>
      <c r="O219" s="84"/>
      <c r="P219" s="31"/>
      <c r="Q219" s="206"/>
      <c r="R219" s="282"/>
    </row>
    <row r="220" spans="1:18" s="90" customFormat="1" x14ac:dyDescent="0.2">
      <c r="A220" s="282"/>
      <c r="B220" s="205"/>
      <c r="C220" s="64"/>
      <c r="D220" s="76" t="s">
        <v>86</v>
      </c>
      <c r="E220" s="462" t="s">
        <v>166</v>
      </c>
      <c r="F220" s="451">
        <f>E218</f>
        <v>19149.900000000001</v>
      </c>
      <c r="G220" s="463">
        <v>3</v>
      </c>
      <c r="H220" s="255">
        <f t="shared" si="5"/>
        <v>57449.700000000004</v>
      </c>
      <c r="I220" s="259"/>
      <c r="J220" s="80"/>
      <c r="K220" s="206"/>
      <c r="L220" s="205"/>
      <c r="M220" s="84"/>
      <c r="N220" s="92">
        <f>H220</f>
        <v>57449.700000000004</v>
      </c>
      <c r="O220" s="84"/>
      <c r="P220" s="31"/>
      <c r="Q220" s="206"/>
      <c r="R220" s="282"/>
    </row>
    <row r="221" spans="1:18" s="90" customFormat="1" x14ac:dyDescent="0.2">
      <c r="A221" s="282"/>
      <c r="B221" s="205"/>
      <c r="C221" s="64"/>
      <c r="D221" s="76" t="s">
        <v>168</v>
      </c>
      <c r="E221" s="465">
        <v>69</v>
      </c>
      <c r="F221" s="451">
        <f>E218/150*1.5</f>
        <v>191.49900000000002</v>
      </c>
      <c r="G221" s="463">
        <f>+F225</f>
        <v>3.25</v>
      </c>
      <c r="H221" s="255">
        <f>+G221*F221*E221</f>
        <v>42943.650750000001</v>
      </c>
      <c r="I221" s="259"/>
      <c r="J221" s="80"/>
      <c r="K221" s="206"/>
      <c r="L221" s="205"/>
      <c r="M221" s="84"/>
      <c r="N221" s="92">
        <f>H221</f>
        <v>42943.650750000001</v>
      </c>
      <c r="O221" s="84"/>
      <c r="P221" s="31"/>
      <c r="Q221" s="206"/>
      <c r="R221" s="282"/>
    </row>
    <row r="222" spans="1:18" s="90" customFormat="1" x14ac:dyDescent="0.2">
      <c r="A222" s="282"/>
      <c r="B222" s="205"/>
      <c r="C222" s="64"/>
      <c r="D222" s="76" t="s">
        <v>15</v>
      </c>
      <c r="E222" s="449" t="s">
        <v>130</v>
      </c>
      <c r="F222" s="451">
        <v>0</v>
      </c>
      <c r="G222" s="255">
        <f>$H$3</f>
        <v>0</v>
      </c>
      <c r="H222" s="255">
        <f t="shared" si="5"/>
        <v>0</v>
      </c>
      <c r="I222" s="259"/>
      <c r="J222" s="80"/>
      <c r="K222" s="206"/>
      <c r="L222" s="205"/>
      <c r="M222" s="84"/>
      <c r="N222" s="92">
        <f>H222</f>
        <v>0</v>
      </c>
      <c r="O222" s="84"/>
      <c r="P222" s="31"/>
      <c r="Q222" s="206"/>
      <c r="R222" s="282"/>
    </row>
    <row r="223" spans="1:18" s="90" customFormat="1" x14ac:dyDescent="0.2">
      <c r="A223" s="282"/>
      <c r="B223" s="205"/>
      <c r="C223" s="64"/>
      <c r="D223" s="76" t="s">
        <v>17</v>
      </c>
      <c r="E223" s="449" t="s">
        <v>130</v>
      </c>
      <c r="F223" s="451">
        <v>0</v>
      </c>
      <c r="G223" s="255">
        <f>$H$4</f>
        <v>0</v>
      </c>
      <c r="H223" s="255">
        <f t="shared" si="5"/>
        <v>0</v>
      </c>
      <c r="I223" s="259"/>
      <c r="J223" s="80"/>
      <c r="K223" s="206"/>
      <c r="L223" s="205"/>
      <c r="M223" s="84"/>
      <c r="N223" s="92">
        <f>H223</f>
        <v>0</v>
      </c>
      <c r="O223" s="84"/>
      <c r="P223" s="31"/>
      <c r="Q223" s="206"/>
      <c r="R223" s="282"/>
    </row>
    <row r="224" spans="1:18" s="90" customFormat="1" x14ac:dyDescent="0.2">
      <c r="A224" s="282"/>
      <c r="B224" s="205"/>
      <c r="C224" s="64"/>
      <c r="D224" s="76" t="s">
        <v>14</v>
      </c>
      <c r="E224" s="462" t="s">
        <v>66</v>
      </c>
      <c r="F224" s="451">
        <f>E218</f>
        <v>19149.900000000001</v>
      </c>
      <c r="G224" s="255">
        <v>0</v>
      </c>
      <c r="H224" s="255">
        <f t="shared" si="5"/>
        <v>0</v>
      </c>
      <c r="I224" s="259"/>
      <c r="J224" s="80"/>
      <c r="K224" s="206"/>
      <c r="L224" s="205"/>
      <c r="M224" s="84"/>
      <c r="N224" s="92"/>
      <c r="O224" s="84">
        <f>SUM(H224)</f>
        <v>0</v>
      </c>
      <c r="P224" s="31"/>
      <c r="Q224" s="206"/>
      <c r="R224" s="282"/>
    </row>
    <row r="225" spans="1:18" s="90" customFormat="1" x14ac:dyDescent="0.2">
      <c r="A225" s="282"/>
      <c r="B225" s="243"/>
      <c r="C225" s="64"/>
      <c r="D225" s="76" t="s">
        <v>167</v>
      </c>
      <c r="E225" s="449" t="s">
        <v>127</v>
      </c>
      <c r="F225" s="456">
        <f>+G219+G220+G224</f>
        <v>3.25</v>
      </c>
      <c r="G225" s="254" t="s">
        <v>153</v>
      </c>
      <c r="H225" s="255">
        <f>SUM(H219:H224)</f>
        <v>105180.82575</v>
      </c>
      <c r="I225" s="251"/>
      <c r="J225" s="80"/>
      <c r="K225" s="244"/>
      <c r="L225" s="243"/>
      <c r="M225" s="245"/>
      <c r="N225" s="246"/>
      <c r="O225" s="92"/>
      <c r="P225" s="31"/>
      <c r="Q225" s="244"/>
      <c r="R225" s="282"/>
    </row>
    <row r="226" spans="1:18" s="90" customFormat="1" x14ac:dyDescent="0.2">
      <c r="A226" s="282"/>
      <c r="B226" s="239"/>
      <c r="C226" s="64"/>
      <c r="D226" s="117" t="s">
        <v>152</v>
      </c>
      <c r="E226" s="449" t="s">
        <v>127</v>
      </c>
      <c r="F226" s="451">
        <f>+E218+F221*E221</f>
        <v>32363.331000000006</v>
      </c>
      <c r="G226" s="466"/>
      <c r="H226" s="255">
        <f>+((F226/2)*F225)/6</f>
        <v>8765.0688125000015</v>
      </c>
      <c r="I226" s="256"/>
      <c r="J226" s="242"/>
      <c r="K226" s="240"/>
      <c r="L226" s="239"/>
      <c r="M226" s="84"/>
      <c r="N226" s="93"/>
      <c r="O226" s="94">
        <f>H226</f>
        <v>8765.0688125000015</v>
      </c>
      <c r="P226" s="89"/>
      <c r="Q226" s="240"/>
      <c r="R226" s="282"/>
    </row>
    <row r="227" spans="1:18" s="90" customFormat="1" x14ac:dyDescent="0.2">
      <c r="A227" s="282"/>
      <c r="B227" s="239"/>
      <c r="C227" s="64"/>
      <c r="D227" s="117" t="s">
        <v>211</v>
      </c>
      <c r="E227" s="451"/>
      <c r="F227" s="451">
        <f>+E218+F221*E221</f>
        <v>32363.331000000006</v>
      </c>
      <c r="G227" s="454"/>
      <c r="H227" s="255">
        <f>+(F227/30)*((F225*30)/20)</f>
        <v>5259.0412875000002</v>
      </c>
      <c r="I227" s="257">
        <v>0</v>
      </c>
      <c r="J227" s="94">
        <f>+(H225+H226+H227)*C218</f>
        <v>119204.93585000001</v>
      </c>
      <c r="K227" s="240"/>
      <c r="L227" s="239"/>
      <c r="M227" s="84"/>
      <c r="N227" s="93"/>
      <c r="O227" s="94">
        <f>H227</f>
        <v>5259.0412875000002</v>
      </c>
      <c r="P227" s="89"/>
      <c r="Q227" s="240"/>
      <c r="R227" s="282"/>
    </row>
    <row r="228" spans="1:18" s="90" customFormat="1" x14ac:dyDescent="0.2">
      <c r="A228" s="282"/>
      <c r="B228" s="205"/>
      <c r="C228" s="64"/>
      <c r="D228" s="95"/>
      <c r="E228" s="455"/>
      <c r="F228" s="456"/>
      <c r="G228" s="457"/>
      <c r="H228" s="458"/>
      <c r="I228" s="259"/>
      <c r="J228" s="80"/>
      <c r="K228" s="206"/>
      <c r="L228" s="205"/>
      <c r="M228" s="88"/>
      <c r="N228" s="80"/>
      <c r="O228" s="80"/>
      <c r="P228" s="89"/>
      <c r="Q228" s="206"/>
      <c r="R228" s="282"/>
    </row>
    <row r="229" spans="1:18" s="90" customFormat="1" ht="15" customHeight="1" x14ac:dyDescent="0.2">
      <c r="A229" s="282"/>
      <c r="B229" s="203"/>
      <c r="C229" s="13">
        <v>2</v>
      </c>
      <c r="D229" s="266" t="s">
        <v>243</v>
      </c>
      <c r="E229" s="459">
        <v>19149.900000000001</v>
      </c>
      <c r="F229" s="456"/>
      <c r="G229" s="472"/>
      <c r="H229" s="461"/>
      <c r="I229" s="260"/>
      <c r="J229" s="151"/>
      <c r="K229" s="204"/>
      <c r="L229" s="203"/>
      <c r="M229" s="88"/>
      <c r="N229" s="80"/>
      <c r="O229" s="80"/>
      <c r="P229" s="89"/>
      <c r="Q229" s="204"/>
      <c r="R229" s="282"/>
    </row>
    <row r="230" spans="1:18" s="90" customFormat="1" x14ac:dyDescent="0.2">
      <c r="A230" s="282"/>
      <c r="B230" s="205"/>
      <c r="C230" s="64"/>
      <c r="D230" s="76" t="s">
        <v>93</v>
      </c>
      <c r="E230" s="462" t="s">
        <v>166</v>
      </c>
      <c r="F230" s="451">
        <f>E229</f>
        <v>19149.900000000001</v>
      </c>
      <c r="G230" s="463">
        <v>0</v>
      </c>
      <c r="H230" s="255">
        <f t="shared" ref="H230:H235" si="6">F230*G230</f>
        <v>0</v>
      </c>
      <c r="I230" s="259"/>
      <c r="J230" s="80"/>
      <c r="K230" s="206"/>
      <c r="L230" s="205"/>
      <c r="M230" s="84">
        <f>H230</f>
        <v>0</v>
      </c>
      <c r="N230" s="92"/>
      <c r="O230" s="84"/>
      <c r="P230" s="31"/>
      <c r="Q230" s="206"/>
      <c r="R230" s="282"/>
    </row>
    <row r="231" spans="1:18" s="90" customFormat="1" x14ac:dyDescent="0.2">
      <c r="A231" s="282"/>
      <c r="B231" s="205"/>
      <c r="C231" s="64"/>
      <c r="D231" s="76" t="s">
        <v>86</v>
      </c>
      <c r="E231" s="462" t="s">
        <v>166</v>
      </c>
      <c r="F231" s="451">
        <f>E229</f>
        <v>19149.900000000001</v>
      </c>
      <c r="G231" s="463">
        <v>3</v>
      </c>
      <c r="H231" s="255">
        <f t="shared" si="6"/>
        <v>57449.700000000004</v>
      </c>
      <c r="I231" s="259"/>
      <c r="J231" s="80"/>
      <c r="K231" s="206"/>
      <c r="L231" s="205"/>
      <c r="M231" s="84"/>
      <c r="N231" s="92">
        <f>H231</f>
        <v>57449.700000000004</v>
      </c>
      <c r="O231" s="84"/>
      <c r="P231" s="31"/>
      <c r="Q231" s="206"/>
      <c r="R231" s="282"/>
    </row>
    <row r="232" spans="1:18" s="90" customFormat="1" x14ac:dyDescent="0.2">
      <c r="A232" s="282"/>
      <c r="B232" s="205"/>
      <c r="C232" s="64"/>
      <c r="D232" s="76" t="s">
        <v>168</v>
      </c>
      <c r="E232" s="465">
        <v>69</v>
      </c>
      <c r="F232" s="451">
        <f>E229/150*1.5</f>
        <v>191.49900000000002</v>
      </c>
      <c r="G232" s="463">
        <f>+F236</f>
        <v>3</v>
      </c>
      <c r="H232" s="255">
        <f>+F232*E232*G232</f>
        <v>39640.293000000005</v>
      </c>
      <c r="I232" s="259"/>
      <c r="J232" s="80"/>
      <c r="K232" s="206"/>
      <c r="L232" s="205"/>
      <c r="M232" s="84"/>
      <c r="N232" s="92">
        <f>H232</f>
        <v>39640.293000000005</v>
      </c>
      <c r="O232" s="84"/>
      <c r="P232" s="31"/>
      <c r="Q232" s="206"/>
      <c r="R232" s="282"/>
    </row>
    <row r="233" spans="1:18" s="90" customFormat="1" x14ac:dyDescent="0.2">
      <c r="A233" s="282"/>
      <c r="B233" s="205"/>
      <c r="C233" s="64"/>
      <c r="D233" s="76" t="s">
        <v>15</v>
      </c>
      <c r="E233" s="449" t="s">
        <v>130</v>
      </c>
      <c r="F233" s="451">
        <v>0</v>
      </c>
      <c r="G233" s="255">
        <f>$H$3</f>
        <v>0</v>
      </c>
      <c r="H233" s="255">
        <f t="shared" si="6"/>
        <v>0</v>
      </c>
      <c r="I233" s="259"/>
      <c r="J233" s="80"/>
      <c r="K233" s="206"/>
      <c r="L233" s="205"/>
      <c r="M233" s="84"/>
      <c r="N233" s="92">
        <f>H233</f>
        <v>0</v>
      </c>
      <c r="O233" s="84"/>
      <c r="P233" s="31"/>
      <c r="Q233" s="206"/>
      <c r="R233" s="282"/>
    </row>
    <row r="234" spans="1:18" s="90" customFormat="1" x14ac:dyDescent="0.2">
      <c r="A234" s="282"/>
      <c r="B234" s="205"/>
      <c r="C234" s="64"/>
      <c r="D234" s="76" t="s">
        <v>17</v>
      </c>
      <c r="E234" s="449" t="s">
        <v>130</v>
      </c>
      <c r="F234" s="451">
        <v>0</v>
      </c>
      <c r="G234" s="255">
        <f>$H$4</f>
        <v>0</v>
      </c>
      <c r="H234" s="255">
        <f t="shared" si="6"/>
        <v>0</v>
      </c>
      <c r="I234" s="259"/>
      <c r="J234" s="80"/>
      <c r="K234" s="206"/>
      <c r="L234" s="205"/>
      <c r="M234" s="84"/>
      <c r="N234" s="92">
        <f>H234</f>
        <v>0</v>
      </c>
      <c r="O234" s="84"/>
      <c r="P234" s="31"/>
      <c r="Q234" s="206"/>
      <c r="R234" s="282"/>
    </row>
    <row r="235" spans="1:18" s="90" customFormat="1" x14ac:dyDescent="0.2">
      <c r="A235" s="282"/>
      <c r="B235" s="205"/>
      <c r="C235" s="64"/>
      <c r="D235" s="76" t="s">
        <v>14</v>
      </c>
      <c r="E235" s="462" t="s">
        <v>66</v>
      </c>
      <c r="F235" s="451">
        <f>E229</f>
        <v>19149.900000000001</v>
      </c>
      <c r="G235" s="255">
        <v>0</v>
      </c>
      <c r="H235" s="255">
        <f t="shared" si="6"/>
        <v>0</v>
      </c>
      <c r="I235" s="259"/>
      <c r="J235" s="80"/>
      <c r="K235" s="206"/>
      <c r="L235" s="205"/>
      <c r="M235" s="84"/>
      <c r="N235" s="92"/>
      <c r="O235" s="84">
        <f>SUM(H235)</f>
        <v>0</v>
      </c>
      <c r="P235" s="31"/>
      <c r="Q235" s="206"/>
      <c r="R235" s="282"/>
    </row>
    <row r="236" spans="1:18" s="90" customFormat="1" x14ac:dyDescent="0.2">
      <c r="A236" s="282"/>
      <c r="B236" s="243"/>
      <c r="C236" s="64"/>
      <c r="D236" s="76" t="s">
        <v>167</v>
      </c>
      <c r="E236" s="449" t="s">
        <v>127</v>
      </c>
      <c r="F236" s="456">
        <f>+G230+G231+G235</f>
        <v>3</v>
      </c>
      <c r="G236" s="254" t="s">
        <v>153</v>
      </c>
      <c r="H236" s="255">
        <f>SUM(H230:H235)</f>
        <v>97089.993000000017</v>
      </c>
      <c r="I236" s="251"/>
      <c r="J236" s="80"/>
      <c r="K236" s="244"/>
      <c r="L236" s="243"/>
      <c r="M236" s="245"/>
      <c r="N236" s="246"/>
      <c r="O236" s="92"/>
      <c r="P236" s="31"/>
      <c r="Q236" s="244"/>
      <c r="R236" s="282"/>
    </row>
    <row r="237" spans="1:18" s="90" customFormat="1" x14ac:dyDescent="0.2">
      <c r="A237" s="282"/>
      <c r="B237" s="239"/>
      <c r="C237" s="64"/>
      <c r="D237" s="117" t="s">
        <v>152</v>
      </c>
      <c r="E237" s="449" t="s">
        <v>127</v>
      </c>
      <c r="F237" s="451">
        <f>+E229+F232*E232</f>
        <v>32363.331000000006</v>
      </c>
      <c r="G237" s="466"/>
      <c r="H237" s="255">
        <f>+((F237/2)*F236)/6</f>
        <v>8090.8327500000014</v>
      </c>
      <c r="I237" s="256"/>
      <c r="J237" s="242"/>
      <c r="K237" s="240"/>
      <c r="L237" s="239"/>
      <c r="M237" s="84"/>
      <c r="N237" s="93"/>
      <c r="O237" s="94">
        <f>H237</f>
        <v>8090.8327500000014</v>
      </c>
      <c r="P237" s="89"/>
      <c r="Q237" s="240"/>
      <c r="R237" s="282"/>
    </row>
    <row r="238" spans="1:18" s="90" customFormat="1" x14ac:dyDescent="0.2">
      <c r="A238" s="282"/>
      <c r="B238" s="239"/>
      <c r="C238" s="64"/>
      <c r="D238" s="117" t="s">
        <v>211</v>
      </c>
      <c r="E238" s="451"/>
      <c r="F238" s="451">
        <f>+E229+F232*E232</f>
        <v>32363.331000000006</v>
      </c>
      <c r="G238" s="454"/>
      <c r="H238" s="255">
        <f>+(F238/30)*((F236*30)/20)</f>
        <v>4854.4996500000007</v>
      </c>
      <c r="I238" s="257">
        <v>0</v>
      </c>
      <c r="J238" s="94">
        <f>+(H236+H237+H238)*C229</f>
        <v>220070.65080000003</v>
      </c>
      <c r="K238" s="240"/>
      <c r="L238" s="239"/>
      <c r="M238" s="84"/>
      <c r="N238" s="93"/>
      <c r="O238" s="94">
        <f>H238</f>
        <v>4854.4996500000007</v>
      </c>
      <c r="P238" s="89"/>
      <c r="Q238" s="240"/>
      <c r="R238" s="282"/>
    </row>
    <row r="239" spans="1:18" s="90" customFormat="1" x14ac:dyDescent="0.2">
      <c r="A239" s="282"/>
      <c r="B239" s="205"/>
      <c r="C239" s="64"/>
      <c r="D239" s="95"/>
      <c r="E239" s="7"/>
      <c r="F239" s="247"/>
      <c r="G239" s="258"/>
      <c r="H239" s="32"/>
      <c r="I239" s="259"/>
      <c r="J239" s="80"/>
      <c r="K239" s="206"/>
      <c r="L239" s="205"/>
      <c r="M239" s="88"/>
      <c r="N239" s="80"/>
      <c r="O239" s="80"/>
      <c r="P239" s="89"/>
      <c r="Q239" s="206"/>
      <c r="R239" s="282"/>
    </row>
    <row r="240" spans="1:18" s="90" customFormat="1" ht="15" customHeight="1" x14ac:dyDescent="0.2">
      <c r="A240" s="282"/>
      <c r="B240" s="203"/>
      <c r="C240" s="13">
        <v>2</v>
      </c>
      <c r="D240" s="266" t="s">
        <v>183</v>
      </c>
      <c r="E240" s="18">
        <v>16308.65</v>
      </c>
      <c r="F240" s="247"/>
      <c r="G240" s="34"/>
      <c r="H240" s="248"/>
      <c r="I240" s="260"/>
      <c r="J240" s="151"/>
      <c r="K240" s="204"/>
      <c r="L240" s="203"/>
      <c r="M240" s="88"/>
      <c r="N240" s="80"/>
      <c r="O240" s="80"/>
      <c r="P240" s="89"/>
      <c r="Q240" s="204"/>
      <c r="R240" s="282"/>
    </row>
    <row r="241" spans="1:18" s="90" customFormat="1" x14ac:dyDescent="0.2">
      <c r="A241" s="282"/>
      <c r="B241" s="205"/>
      <c r="C241" s="64"/>
      <c r="D241" s="76" t="s">
        <v>93</v>
      </c>
      <c r="E241" s="78" t="s">
        <v>166</v>
      </c>
      <c r="F241" s="250">
        <f>E240</f>
        <v>16308.65</v>
      </c>
      <c r="G241" s="63">
        <v>0</v>
      </c>
      <c r="H241" s="28">
        <f>+G241*F241</f>
        <v>0</v>
      </c>
      <c r="I241" s="259"/>
      <c r="J241" s="80"/>
      <c r="K241" s="206"/>
      <c r="L241" s="205"/>
      <c r="M241" s="84">
        <f>H241</f>
        <v>0</v>
      </c>
      <c r="N241" s="92"/>
      <c r="O241" s="84"/>
      <c r="P241" s="31"/>
      <c r="Q241" s="206"/>
      <c r="R241" s="282"/>
    </row>
    <row r="242" spans="1:18" s="90" customFormat="1" x14ac:dyDescent="0.2">
      <c r="A242" s="282"/>
      <c r="B242" s="205"/>
      <c r="C242" s="64"/>
      <c r="D242" s="76" t="s">
        <v>86</v>
      </c>
      <c r="E242" s="462" t="s">
        <v>166</v>
      </c>
      <c r="F242" s="451">
        <f>E240</f>
        <v>16308.65</v>
      </c>
      <c r="G242" s="463">
        <v>3</v>
      </c>
      <c r="H242" s="255">
        <f>+G242*F242</f>
        <v>48925.95</v>
      </c>
      <c r="I242" s="259"/>
      <c r="J242" s="80"/>
      <c r="K242" s="206"/>
      <c r="L242" s="205"/>
      <c r="M242" s="84"/>
      <c r="N242" s="92">
        <f>H242</f>
        <v>48925.95</v>
      </c>
      <c r="O242" s="84"/>
      <c r="P242" s="31"/>
      <c r="Q242" s="206"/>
      <c r="R242" s="282"/>
    </row>
    <row r="243" spans="1:18" s="90" customFormat="1" x14ac:dyDescent="0.2">
      <c r="A243" s="282"/>
      <c r="B243" s="205"/>
      <c r="C243" s="64"/>
      <c r="D243" s="76" t="s">
        <v>168</v>
      </c>
      <c r="E243" s="465">
        <v>69</v>
      </c>
      <c r="F243" s="451">
        <f>E240/150*1.5</f>
        <v>163.0865</v>
      </c>
      <c r="G243" s="463">
        <f>+F247</f>
        <v>3</v>
      </c>
      <c r="H243" s="255">
        <f>+G243*F243*E243</f>
        <v>33758.905500000001</v>
      </c>
      <c r="I243" s="259"/>
      <c r="J243" s="80"/>
      <c r="K243" s="206"/>
      <c r="L243" s="205"/>
      <c r="M243" s="84"/>
      <c r="N243" s="92">
        <f>H243</f>
        <v>33758.905500000001</v>
      </c>
      <c r="O243" s="84"/>
      <c r="P243" s="31"/>
      <c r="Q243" s="206"/>
      <c r="R243" s="282"/>
    </row>
    <row r="244" spans="1:18" s="90" customFormat="1" x14ac:dyDescent="0.2">
      <c r="A244" s="282"/>
      <c r="B244" s="205"/>
      <c r="C244" s="64"/>
      <c r="D244" s="76" t="s">
        <v>15</v>
      </c>
      <c r="E244" s="449" t="s">
        <v>130</v>
      </c>
      <c r="F244" s="451">
        <v>0</v>
      </c>
      <c r="G244" s="255">
        <f>$H$3</f>
        <v>0</v>
      </c>
      <c r="H244" s="255">
        <f>+G244*F244</f>
        <v>0</v>
      </c>
      <c r="I244" s="259"/>
      <c r="J244" s="80"/>
      <c r="K244" s="206"/>
      <c r="L244" s="205"/>
      <c r="M244" s="84"/>
      <c r="N244" s="92">
        <f>H244</f>
        <v>0</v>
      </c>
      <c r="O244" s="84"/>
      <c r="P244" s="31"/>
      <c r="Q244" s="206"/>
      <c r="R244" s="282"/>
    </row>
    <row r="245" spans="1:18" s="90" customFormat="1" x14ac:dyDescent="0.2">
      <c r="A245" s="282"/>
      <c r="B245" s="205"/>
      <c r="C245" s="64"/>
      <c r="D245" s="76" t="s">
        <v>17</v>
      </c>
      <c r="E245" s="449" t="s">
        <v>130</v>
      </c>
      <c r="F245" s="451">
        <v>0</v>
      </c>
      <c r="G245" s="255">
        <f>$H$4</f>
        <v>0</v>
      </c>
      <c r="H245" s="255">
        <f>+G245*F245</f>
        <v>0</v>
      </c>
      <c r="I245" s="259"/>
      <c r="J245" s="80"/>
      <c r="K245" s="206"/>
      <c r="L245" s="205"/>
      <c r="M245" s="84"/>
      <c r="N245" s="92">
        <f>H245</f>
        <v>0</v>
      </c>
      <c r="O245" s="84"/>
      <c r="P245" s="31"/>
      <c r="Q245" s="206"/>
      <c r="R245" s="282"/>
    </row>
    <row r="246" spans="1:18" s="90" customFormat="1" x14ac:dyDescent="0.2">
      <c r="A246" s="282"/>
      <c r="B246" s="205"/>
      <c r="C246" s="64"/>
      <c r="D246" s="76" t="s">
        <v>14</v>
      </c>
      <c r="E246" s="462" t="s">
        <v>66</v>
      </c>
      <c r="F246" s="451">
        <f>E240</f>
        <v>16308.65</v>
      </c>
      <c r="G246" s="255">
        <v>0</v>
      </c>
      <c r="H246" s="255">
        <f>+G246*F246</f>
        <v>0</v>
      </c>
      <c r="I246" s="259"/>
      <c r="J246" s="80"/>
      <c r="K246" s="206"/>
      <c r="L246" s="205"/>
      <c r="M246" s="84"/>
      <c r="N246" s="92"/>
      <c r="O246" s="84">
        <f>SUM(H246)</f>
        <v>0</v>
      </c>
      <c r="P246" s="31"/>
      <c r="Q246" s="206"/>
      <c r="R246" s="282"/>
    </row>
    <row r="247" spans="1:18" s="90" customFormat="1" x14ac:dyDescent="0.2">
      <c r="A247" s="282"/>
      <c r="B247" s="243"/>
      <c r="C247" s="64"/>
      <c r="D247" s="76" t="s">
        <v>167</v>
      </c>
      <c r="E247" s="449" t="s">
        <v>127</v>
      </c>
      <c r="F247" s="456">
        <f>+G241+G242+G246</f>
        <v>3</v>
      </c>
      <c r="G247" s="254" t="s">
        <v>153</v>
      </c>
      <c r="H247" s="255">
        <f>SUM(H241:H246)</f>
        <v>82684.855500000005</v>
      </c>
      <c r="I247" s="251"/>
      <c r="J247" s="80"/>
      <c r="K247" s="244"/>
      <c r="L247" s="243"/>
      <c r="M247" s="245"/>
      <c r="N247" s="246"/>
      <c r="O247" s="92"/>
      <c r="P247" s="31"/>
      <c r="Q247" s="244"/>
      <c r="R247" s="282"/>
    </row>
    <row r="248" spans="1:18" s="90" customFormat="1" x14ac:dyDescent="0.2">
      <c r="A248" s="282"/>
      <c r="B248" s="239"/>
      <c r="C248" s="64"/>
      <c r="D248" s="117" t="s">
        <v>152</v>
      </c>
      <c r="E248" s="449" t="s">
        <v>127</v>
      </c>
      <c r="F248" s="451">
        <f>+E240+F243*E243</f>
        <v>27561.6185</v>
      </c>
      <c r="G248" s="466"/>
      <c r="H248" s="255">
        <f>+((F248/2)*F247)/6</f>
        <v>6890.4046250000001</v>
      </c>
      <c r="I248" s="256"/>
      <c r="J248" s="242"/>
      <c r="K248" s="240"/>
      <c r="L248" s="239"/>
      <c r="M248" s="84"/>
      <c r="N248" s="93"/>
      <c r="O248" s="94">
        <f>H248</f>
        <v>6890.4046250000001</v>
      </c>
      <c r="P248" s="89"/>
      <c r="Q248" s="240"/>
      <c r="R248" s="282"/>
    </row>
    <row r="249" spans="1:18" s="90" customFormat="1" x14ac:dyDescent="0.2">
      <c r="A249" s="282"/>
      <c r="B249" s="239"/>
      <c r="C249" s="64"/>
      <c r="D249" s="117" t="s">
        <v>211</v>
      </c>
      <c r="E249" s="451"/>
      <c r="F249" s="451">
        <f>+E240+F243*E243</f>
        <v>27561.6185</v>
      </c>
      <c r="G249" s="454"/>
      <c r="H249" s="255">
        <f>+(F249/30)*((F247*30)/20)</f>
        <v>4134.2427750000006</v>
      </c>
      <c r="I249" s="257">
        <v>0</v>
      </c>
      <c r="J249" s="94">
        <f>+(H247+H248+H249)*C240</f>
        <v>187419.00580000001</v>
      </c>
      <c r="K249" s="240"/>
      <c r="L249" s="239"/>
      <c r="M249" s="84"/>
      <c r="N249" s="93"/>
      <c r="O249" s="94">
        <f>H249</f>
        <v>4134.2427750000006</v>
      </c>
      <c r="P249" s="89"/>
      <c r="Q249" s="240"/>
      <c r="R249" s="282"/>
    </row>
    <row r="250" spans="1:18" s="90" customFormat="1" x14ac:dyDescent="0.2">
      <c r="A250" s="282"/>
      <c r="B250" s="205"/>
      <c r="C250" s="64"/>
      <c r="D250" s="95"/>
      <c r="E250" s="455"/>
      <c r="F250" s="456"/>
      <c r="G250" s="457"/>
      <c r="H250" s="458"/>
      <c r="I250" s="259"/>
      <c r="J250" s="80"/>
      <c r="K250" s="206"/>
      <c r="L250" s="205"/>
      <c r="M250" s="88"/>
      <c r="N250" s="80"/>
      <c r="O250" s="80"/>
      <c r="P250" s="89"/>
      <c r="Q250" s="206"/>
      <c r="R250" s="282"/>
    </row>
    <row r="251" spans="1:18" s="90" customFormat="1" ht="15" customHeight="1" x14ac:dyDescent="0.2">
      <c r="A251" s="282"/>
      <c r="B251" s="203"/>
      <c r="C251" s="13">
        <v>1</v>
      </c>
      <c r="D251" s="266" t="s">
        <v>184</v>
      </c>
      <c r="E251" s="459">
        <v>16308.65</v>
      </c>
      <c r="F251" s="456"/>
      <c r="G251" s="472"/>
      <c r="H251" s="461"/>
      <c r="I251" s="260"/>
      <c r="J251" s="151"/>
      <c r="K251" s="204"/>
      <c r="L251" s="203"/>
      <c r="M251" s="88"/>
      <c r="N251" s="80"/>
      <c r="O251" s="80"/>
      <c r="P251" s="89"/>
      <c r="Q251" s="204"/>
      <c r="R251" s="282"/>
    </row>
    <row r="252" spans="1:18" s="90" customFormat="1" x14ac:dyDescent="0.2">
      <c r="A252" s="282"/>
      <c r="B252" s="205"/>
      <c r="C252" s="64"/>
      <c r="D252" s="76" t="s">
        <v>93</v>
      </c>
      <c r="E252" s="462" t="s">
        <v>166</v>
      </c>
      <c r="F252" s="451">
        <f>E251</f>
        <v>16308.65</v>
      </c>
      <c r="G252" s="463">
        <v>0</v>
      </c>
      <c r="H252" s="255">
        <f t="shared" ref="H252:H257" si="7">+G252*F252</f>
        <v>0</v>
      </c>
      <c r="I252" s="259"/>
      <c r="J252" s="80"/>
      <c r="K252" s="206"/>
      <c r="L252" s="205"/>
      <c r="M252" s="84">
        <f>H252</f>
        <v>0</v>
      </c>
      <c r="N252" s="92"/>
      <c r="O252" s="84"/>
      <c r="P252" s="31"/>
      <c r="Q252" s="206"/>
      <c r="R252" s="282"/>
    </row>
    <row r="253" spans="1:18" s="90" customFormat="1" x14ac:dyDescent="0.2">
      <c r="A253" s="282"/>
      <c r="B253" s="205"/>
      <c r="C253" s="64"/>
      <c r="D253" s="76" t="s">
        <v>86</v>
      </c>
      <c r="E253" s="462" t="s">
        <v>166</v>
      </c>
      <c r="F253" s="451">
        <f>E251</f>
        <v>16308.65</v>
      </c>
      <c r="G253" s="463">
        <v>3</v>
      </c>
      <c r="H253" s="255">
        <f t="shared" si="7"/>
        <v>48925.95</v>
      </c>
      <c r="I253" s="259"/>
      <c r="J253" s="80"/>
      <c r="K253" s="206"/>
      <c r="L253" s="205"/>
      <c r="M253" s="84"/>
      <c r="N253" s="92">
        <f>H253</f>
        <v>48925.95</v>
      </c>
      <c r="O253" s="84"/>
      <c r="P253" s="31"/>
      <c r="Q253" s="206"/>
      <c r="R253" s="282"/>
    </row>
    <row r="254" spans="1:18" s="90" customFormat="1" x14ac:dyDescent="0.2">
      <c r="A254" s="282"/>
      <c r="B254" s="205"/>
      <c r="C254" s="64"/>
      <c r="D254" s="76" t="s">
        <v>168</v>
      </c>
      <c r="E254" s="465">
        <v>69</v>
      </c>
      <c r="F254" s="451">
        <f>E251/150*1.5</f>
        <v>163.0865</v>
      </c>
      <c r="G254" s="463">
        <f>+F258</f>
        <v>3</v>
      </c>
      <c r="H254" s="255">
        <f>+G254*F254*E254</f>
        <v>33758.905500000001</v>
      </c>
      <c r="I254" s="259"/>
      <c r="J254" s="80"/>
      <c r="K254" s="206"/>
      <c r="L254" s="205"/>
      <c r="M254" s="84"/>
      <c r="N254" s="92">
        <f>H254</f>
        <v>33758.905500000001</v>
      </c>
      <c r="O254" s="84"/>
      <c r="P254" s="31"/>
      <c r="Q254" s="206"/>
      <c r="R254" s="282"/>
    </row>
    <row r="255" spans="1:18" s="90" customFormat="1" x14ac:dyDescent="0.2">
      <c r="A255" s="282"/>
      <c r="B255" s="205"/>
      <c r="C255" s="64"/>
      <c r="D255" s="76" t="s">
        <v>15</v>
      </c>
      <c r="E255" s="449" t="s">
        <v>130</v>
      </c>
      <c r="F255" s="451">
        <v>0</v>
      </c>
      <c r="G255" s="255">
        <f>$H$3</f>
        <v>0</v>
      </c>
      <c r="H255" s="255">
        <f t="shared" si="7"/>
        <v>0</v>
      </c>
      <c r="I255" s="259"/>
      <c r="J255" s="80"/>
      <c r="K255" s="206"/>
      <c r="L255" s="205"/>
      <c r="M255" s="84"/>
      <c r="N255" s="92">
        <f>H255</f>
        <v>0</v>
      </c>
      <c r="O255" s="84"/>
      <c r="P255" s="31"/>
      <c r="Q255" s="206"/>
      <c r="R255" s="282"/>
    </row>
    <row r="256" spans="1:18" s="90" customFormat="1" x14ac:dyDescent="0.2">
      <c r="A256" s="282"/>
      <c r="B256" s="205"/>
      <c r="C256" s="64"/>
      <c r="D256" s="76" t="s">
        <v>17</v>
      </c>
      <c r="E256" s="449" t="s">
        <v>130</v>
      </c>
      <c r="F256" s="451">
        <v>0</v>
      </c>
      <c r="G256" s="255">
        <f>$H$4</f>
        <v>0</v>
      </c>
      <c r="H256" s="255">
        <f t="shared" si="7"/>
        <v>0</v>
      </c>
      <c r="I256" s="259"/>
      <c r="J256" s="80"/>
      <c r="K256" s="206"/>
      <c r="L256" s="205"/>
      <c r="M256" s="84"/>
      <c r="N256" s="92">
        <f>H256</f>
        <v>0</v>
      </c>
      <c r="O256" s="84"/>
      <c r="P256" s="31"/>
      <c r="Q256" s="206"/>
      <c r="R256" s="282"/>
    </row>
    <row r="257" spans="1:18" s="90" customFormat="1" x14ac:dyDescent="0.2">
      <c r="A257" s="282"/>
      <c r="B257" s="205"/>
      <c r="C257" s="64"/>
      <c r="D257" s="76" t="s">
        <v>14</v>
      </c>
      <c r="E257" s="462" t="s">
        <v>66</v>
      </c>
      <c r="F257" s="451">
        <f>E251</f>
        <v>16308.65</v>
      </c>
      <c r="G257" s="255">
        <v>0</v>
      </c>
      <c r="H257" s="255">
        <f t="shared" si="7"/>
        <v>0</v>
      </c>
      <c r="I257" s="259"/>
      <c r="J257" s="80"/>
      <c r="K257" s="206"/>
      <c r="L257" s="205"/>
      <c r="M257" s="84"/>
      <c r="N257" s="92"/>
      <c r="O257" s="84">
        <f>SUM(H257)</f>
        <v>0</v>
      </c>
      <c r="P257" s="31"/>
      <c r="Q257" s="206"/>
      <c r="R257" s="282"/>
    </row>
    <row r="258" spans="1:18" s="90" customFormat="1" x14ac:dyDescent="0.2">
      <c r="A258" s="282"/>
      <c r="B258" s="243"/>
      <c r="C258" s="64"/>
      <c r="D258" s="76" t="s">
        <v>167</v>
      </c>
      <c r="E258" s="449" t="s">
        <v>127</v>
      </c>
      <c r="F258" s="456">
        <f>+G252+G253+G257</f>
        <v>3</v>
      </c>
      <c r="G258" s="254" t="s">
        <v>153</v>
      </c>
      <c r="H258" s="255">
        <f>SUM(H252:H257)</f>
        <v>82684.855500000005</v>
      </c>
      <c r="I258" s="251"/>
      <c r="J258" s="80"/>
      <c r="K258" s="244"/>
      <c r="L258" s="243"/>
      <c r="M258" s="245"/>
      <c r="N258" s="246"/>
      <c r="O258" s="92"/>
      <c r="P258" s="31"/>
      <c r="Q258" s="244"/>
      <c r="R258" s="282"/>
    </row>
    <row r="259" spans="1:18" s="90" customFormat="1" x14ac:dyDescent="0.2">
      <c r="A259" s="282"/>
      <c r="B259" s="239"/>
      <c r="C259" s="64"/>
      <c r="D259" s="117" t="s">
        <v>152</v>
      </c>
      <c r="E259" s="449" t="s">
        <v>127</v>
      </c>
      <c r="F259" s="451">
        <f>+E251+F254*E254</f>
        <v>27561.6185</v>
      </c>
      <c r="G259" s="466"/>
      <c r="H259" s="255">
        <f>+((F259/2)*F258)/6</f>
        <v>6890.4046250000001</v>
      </c>
      <c r="I259" s="256"/>
      <c r="J259" s="242"/>
      <c r="K259" s="240"/>
      <c r="L259" s="239"/>
      <c r="M259" s="84"/>
      <c r="N259" s="93"/>
      <c r="O259" s="94">
        <f>H259</f>
        <v>6890.4046250000001</v>
      </c>
      <c r="P259" s="89"/>
      <c r="Q259" s="240"/>
      <c r="R259" s="282"/>
    </row>
    <row r="260" spans="1:18" s="90" customFormat="1" x14ac:dyDescent="0.2">
      <c r="A260" s="282"/>
      <c r="B260" s="239"/>
      <c r="C260" s="64"/>
      <c r="D260" s="117" t="s">
        <v>211</v>
      </c>
      <c r="E260" s="451"/>
      <c r="F260" s="451">
        <f>+E251+F254*E254</f>
        <v>27561.6185</v>
      </c>
      <c r="G260" s="454"/>
      <c r="H260" s="255">
        <f>+(F260/30)*((F258*30)/20)</f>
        <v>4134.2427750000006</v>
      </c>
      <c r="I260" s="257">
        <v>0</v>
      </c>
      <c r="J260" s="94">
        <f>+(H258+H259+H260)*C251</f>
        <v>93709.502900000007</v>
      </c>
      <c r="K260" s="240"/>
      <c r="L260" s="239"/>
      <c r="M260" s="84"/>
      <c r="N260" s="93"/>
      <c r="O260" s="94">
        <f>H260</f>
        <v>4134.2427750000006</v>
      </c>
      <c r="P260" s="89"/>
      <c r="Q260" s="240"/>
      <c r="R260" s="282"/>
    </row>
    <row r="261" spans="1:18" s="90" customFormat="1" x14ac:dyDescent="0.2">
      <c r="A261" s="282"/>
      <c r="B261" s="205"/>
      <c r="C261" s="64"/>
      <c r="D261" s="95"/>
      <c r="E261" s="467"/>
      <c r="F261" s="456"/>
      <c r="G261" s="457"/>
      <c r="H261" s="458"/>
      <c r="I261" s="259"/>
      <c r="J261" s="80"/>
      <c r="K261" s="206"/>
      <c r="L261" s="205"/>
      <c r="M261" s="88"/>
      <c r="N261" s="80"/>
      <c r="O261" s="80"/>
      <c r="P261" s="89"/>
      <c r="Q261" s="206"/>
      <c r="R261" s="282"/>
    </row>
    <row r="262" spans="1:18" s="90" customFormat="1" ht="15" customHeight="1" x14ac:dyDescent="0.2">
      <c r="A262" s="282"/>
      <c r="B262" s="203"/>
      <c r="C262" s="13">
        <v>1</v>
      </c>
      <c r="D262" s="266" t="s">
        <v>185</v>
      </c>
      <c r="E262" s="459">
        <v>13919.35</v>
      </c>
      <c r="F262" s="456"/>
      <c r="G262" s="472"/>
      <c r="H262" s="461"/>
      <c r="I262" s="260"/>
      <c r="J262" s="151"/>
      <c r="K262" s="204"/>
      <c r="L262" s="203"/>
      <c r="M262" s="88"/>
      <c r="N262" s="80"/>
      <c r="O262" s="80"/>
      <c r="P262" s="89"/>
      <c r="Q262" s="204"/>
      <c r="R262" s="282"/>
    </row>
    <row r="263" spans="1:18" s="90" customFormat="1" x14ac:dyDescent="0.2">
      <c r="A263" s="282"/>
      <c r="B263" s="205"/>
      <c r="C263" s="64"/>
      <c r="D263" s="76" t="s">
        <v>93</v>
      </c>
      <c r="E263" s="462" t="s">
        <v>166</v>
      </c>
      <c r="F263" s="451">
        <f>E262</f>
        <v>13919.35</v>
      </c>
      <c r="G263" s="463">
        <v>0</v>
      </c>
      <c r="H263" s="255">
        <f>+G263*F263</f>
        <v>0</v>
      </c>
      <c r="I263" s="259"/>
      <c r="J263" s="80"/>
      <c r="K263" s="206"/>
      <c r="L263" s="205"/>
      <c r="M263" s="84">
        <f>H263</f>
        <v>0</v>
      </c>
      <c r="N263" s="92"/>
      <c r="O263" s="84"/>
      <c r="P263" s="31"/>
      <c r="Q263" s="206"/>
      <c r="R263" s="282"/>
    </row>
    <row r="264" spans="1:18" s="90" customFormat="1" x14ac:dyDescent="0.2">
      <c r="A264" s="282"/>
      <c r="B264" s="205"/>
      <c r="C264" s="64"/>
      <c r="D264" s="76" t="s">
        <v>86</v>
      </c>
      <c r="E264" s="462" t="s">
        <v>166</v>
      </c>
      <c r="F264" s="451">
        <f>E262</f>
        <v>13919.35</v>
      </c>
      <c r="G264" s="463">
        <v>3</v>
      </c>
      <c r="H264" s="255">
        <f>+G264*F264</f>
        <v>41758.050000000003</v>
      </c>
      <c r="I264" s="259"/>
      <c r="J264" s="80"/>
      <c r="K264" s="206"/>
      <c r="L264" s="205"/>
      <c r="M264" s="84"/>
      <c r="N264" s="92">
        <f>H264</f>
        <v>41758.050000000003</v>
      </c>
      <c r="O264" s="84"/>
      <c r="P264" s="31"/>
      <c r="Q264" s="206"/>
      <c r="R264" s="282"/>
    </row>
    <row r="265" spans="1:18" s="90" customFormat="1" x14ac:dyDescent="0.2">
      <c r="A265" s="282"/>
      <c r="B265" s="205"/>
      <c r="C265" s="64"/>
      <c r="D265" s="76" t="s">
        <v>168</v>
      </c>
      <c r="E265" s="465">
        <v>69</v>
      </c>
      <c r="F265" s="451">
        <f>E262/150*1.5</f>
        <v>139.1935</v>
      </c>
      <c r="G265" s="463">
        <f>+F269</f>
        <v>3</v>
      </c>
      <c r="H265" s="255">
        <f>+G265*F265*E265</f>
        <v>28813.054500000002</v>
      </c>
      <c r="I265" s="259"/>
      <c r="J265" s="80"/>
      <c r="K265" s="206"/>
      <c r="L265" s="205"/>
      <c r="M265" s="84"/>
      <c r="N265" s="92">
        <f>H265</f>
        <v>28813.054500000002</v>
      </c>
      <c r="O265" s="84"/>
      <c r="P265" s="31"/>
      <c r="Q265" s="206"/>
      <c r="R265" s="282"/>
    </row>
    <row r="266" spans="1:18" s="90" customFormat="1" x14ac:dyDescent="0.2">
      <c r="A266" s="282"/>
      <c r="B266" s="205"/>
      <c r="C266" s="64"/>
      <c r="D266" s="76" t="s">
        <v>15</v>
      </c>
      <c r="E266" s="449" t="s">
        <v>130</v>
      </c>
      <c r="F266" s="451">
        <v>0</v>
      </c>
      <c r="G266" s="255">
        <f>$H$3</f>
        <v>0</v>
      </c>
      <c r="H266" s="255">
        <f>+G266*F266</f>
        <v>0</v>
      </c>
      <c r="I266" s="259"/>
      <c r="J266" s="80"/>
      <c r="K266" s="206"/>
      <c r="L266" s="205"/>
      <c r="M266" s="84"/>
      <c r="N266" s="92">
        <f>H266</f>
        <v>0</v>
      </c>
      <c r="O266" s="84"/>
      <c r="P266" s="31"/>
      <c r="Q266" s="206"/>
      <c r="R266" s="282"/>
    </row>
    <row r="267" spans="1:18" s="90" customFormat="1" x14ac:dyDescent="0.2">
      <c r="A267" s="282"/>
      <c r="B267" s="205"/>
      <c r="C267" s="64"/>
      <c r="D267" s="76" t="s">
        <v>17</v>
      </c>
      <c r="E267" s="449" t="s">
        <v>130</v>
      </c>
      <c r="F267" s="451">
        <v>0</v>
      </c>
      <c r="G267" s="255">
        <f>$H$4</f>
        <v>0</v>
      </c>
      <c r="H267" s="255">
        <f>+G267*F267</f>
        <v>0</v>
      </c>
      <c r="I267" s="259"/>
      <c r="J267" s="80"/>
      <c r="K267" s="206"/>
      <c r="L267" s="205"/>
      <c r="M267" s="84"/>
      <c r="N267" s="92">
        <f>H267</f>
        <v>0</v>
      </c>
      <c r="O267" s="84"/>
      <c r="P267" s="31"/>
      <c r="Q267" s="206"/>
      <c r="R267" s="282"/>
    </row>
    <row r="268" spans="1:18" s="90" customFormat="1" x14ac:dyDescent="0.2">
      <c r="A268" s="282"/>
      <c r="B268" s="205"/>
      <c r="C268" s="64"/>
      <c r="D268" s="76" t="s">
        <v>14</v>
      </c>
      <c r="E268" s="462" t="s">
        <v>66</v>
      </c>
      <c r="F268" s="451">
        <f>E262</f>
        <v>13919.35</v>
      </c>
      <c r="G268" s="255">
        <v>0</v>
      </c>
      <c r="H268" s="255">
        <f>+G268*F268</f>
        <v>0</v>
      </c>
      <c r="I268" s="259"/>
      <c r="J268" s="80"/>
      <c r="K268" s="206"/>
      <c r="L268" s="205"/>
      <c r="M268" s="84"/>
      <c r="N268" s="92"/>
      <c r="O268" s="84">
        <f>SUM(H268)</f>
        <v>0</v>
      </c>
      <c r="P268" s="31"/>
      <c r="Q268" s="206"/>
      <c r="R268" s="282"/>
    </row>
    <row r="269" spans="1:18" s="90" customFormat="1" x14ac:dyDescent="0.2">
      <c r="A269" s="282"/>
      <c r="B269" s="243"/>
      <c r="C269" s="64"/>
      <c r="D269" s="76" t="s">
        <v>167</v>
      </c>
      <c r="E269" s="449" t="s">
        <v>127</v>
      </c>
      <c r="F269" s="456">
        <f>+G263+G264+G268</f>
        <v>3</v>
      </c>
      <c r="G269" s="254" t="s">
        <v>153</v>
      </c>
      <c r="H269" s="255">
        <f>SUM(H263:H268)</f>
        <v>70571.104500000001</v>
      </c>
      <c r="I269" s="251"/>
      <c r="J269" s="80"/>
      <c r="K269" s="244"/>
      <c r="L269" s="243"/>
      <c r="M269" s="245"/>
      <c r="N269" s="246"/>
      <c r="O269" s="92"/>
      <c r="P269" s="31"/>
      <c r="Q269" s="244"/>
      <c r="R269" s="282"/>
    </row>
    <row r="270" spans="1:18" s="90" customFormat="1" x14ac:dyDescent="0.2">
      <c r="A270" s="282"/>
      <c r="B270" s="239"/>
      <c r="C270" s="64"/>
      <c r="D270" s="117" t="s">
        <v>152</v>
      </c>
      <c r="E270" s="449" t="s">
        <v>127</v>
      </c>
      <c r="F270" s="451">
        <f>+E262+F265*E265</f>
        <v>23523.701500000003</v>
      </c>
      <c r="G270" s="466"/>
      <c r="H270" s="255">
        <f>+((F270/2)*F269)/6</f>
        <v>5880.9253750000016</v>
      </c>
      <c r="I270" s="256"/>
      <c r="J270" s="242"/>
      <c r="K270" s="240"/>
      <c r="L270" s="239"/>
      <c r="M270" s="84"/>
      <c r="N270" s="93"/>
      <c r="O270" s="94">
        <f>H270</f>
        <v>5880.9253750000016</v>
      </c>
      <c r="P270" s="89"/>
      <c r="Q270" s="240"/>
      <c r="R270" s="282"/>
    </row>
    <row r="271" spans="1:18" s="90" customFormat="1" x14ac:dyDescent="0.2">
      <c r="A271" s="282"/>
      <c r="B271" s="239"/>
      <c r="C271" s="64"/>
      <c r="D271" s="117" t="s">
        <v>211</v>
      </c>
      <c r="E271" s="451"/>
      <c r="F271" s="451">
        <f>+E262+F265*E265</f>
        <v>23523.701500000003</v>
      </c>
      <c r="G271" s="454"/>
      <c r="H271" s="255">
        <f>+(F271/30)*((F269*30)/20)</f>
        <v>3528.5552250000005</v>
      </c>
      <c r="I271" s="257">
        <v>0</v>
      </c>
      <c r="J271" s="94">
        <f>+(H269+H270+H271)*C262</f>
        <v>79980.585100000011</v>
      </c>
      <c r="K271" s="240"/>
      <c r="L271" s="239"/>
      <c r="M271" s="84"/>
      <c r="N271" s="93"/>
      <c r="O271" s="94">
        <f>H271</f>
        <v>3528.5552250000005</v>
      </c>
      <c r="P271" s="89"/>
      <c r="Q271" s="240"/>
      <c r="R271" s="282"/>
    </row>
    <row r="272" spans="1:18" s="90" customFormat="1" x14ac:dyDescent="0.2">
      <c r="A272" s="282"/>
      <c r="B272" s="205"/>
      <c r="C272" s="64"/>
      <c r="D272" s="95"/>
      <c r="E272" s="467"/>
      <c r="F272" s="456"/>
      <c r="G272" s="457"/>
      <c r="H272" s="458"/>
      <c r="I272" s="259"/>
      <c r="J272" s="80"/>
      <c r="K272" s="206"/>
      <c r="L272" s="205"/>
      <c r="M272" s="88"/>
      <c r="N272" s="80"/>
      <c r="O272" s="80"/>
      <c r="P272" s="89"/>
      <c r="Q272" s="206"/>
      <c r="R272" s="282"/>
    </row>
    <row r="273" spans="1:18" s="90" customFormat="1" ht="15" customHeight="1" x14ac:dyDescent="0.2">
      <c r="A273" s="282"/>
      <c r="B273" s="203"/>
      <c r="C273" s="13">
        <v>1</v>
      </c>
      <c r="D273" s="266" t="s">
        <v>186</v>
      </c>
      <c r="E273" s="459">
        <v>16308.65</v>
      </c>
      <c r="F273" s="456"/>
      <c r="G273" s="472"/>
      <c r="H273" s="461"/>
      <c r="I273" s="260"/>
      <c r="J273" s="151"/>
      <c r="K273" s="204"/>
      <c r="L273" s="203"/>
      <c r="M273" s="88"/>
      <c r="N273" s="80"/>
      <c r="O273" s="80"/>
      <c r="P273" s="89"/>
      <c r="Q273" s="204"/>
      <c r="R273" s="282"/>
    </row>
    <row r="274" spans="1:18" s="90" customFormat="1" x14ac:dyDescent="0.2">
      <c r="A274" s="282"/>
      <c r="B274" s="205"/>
      <c r="C274" s="64"/>
      <c r="D274" s="76" t="s">
        <v>93</v>
      </c>
      <c r="E274" s="474" t="s">
        <v>174</v>
      </c>
      <c r="F274" s="451">
        <f>E273</f>
        <v>16308.65</v>
      </c>
      <c r="G274" s="463">
        <v>0.5</v>
      </c>
      <c r="H274" s="255">
        <f>+G274*F274</f>
        <v>8154.3249999999998</v>
      </c>
      <c r="I274" s="259"/>
      <c r="J274" s="80"/>
      <c r="K274" s="206"/>
      <c r="L274" s="205"/>
      <c r="M274" s="84">
        <f>H274</f>
        <v>8154.3249999999998</v>
      </c>
      <c r="N274" s="92"/>
      <c r="O274" s="84"/>
      <c r="P274" s="31"/>
      <c r="Q274" s="206"/>
      <c r="R274" s="282"/>
    </row>
    <row r="275" spans="1:18" s="90" customFormat="1" x14ac:dyDescent="0.2">
      <c r="A275" s="282"/>
      <c r="B275" s="205"/>
      <c r="C275" s="64"/>
      <c r="D275" s="76" t="s">
        <v>86</v>
      </c>
      <c r="E275" s="475" t="s">
        <v>174</v>
      </c>
      <c r="F275" s="451">
        <f>E273</f>
        <v>16308.65</v>
      </c>
      <c r="G275" s="463">
        <v>3</v>
      </c>
      <c r="H275" s="255">
        <f>+G275*F275</f>
        <v>48925.95</v>
      </c>
      <c r="I275" s="259"/>
      <c r="J275" s="80"/>
      <c r="K275" s="206"/>
      <c r="L275" s="205"/>
      <c r="M275" s="84"/>
      <c r="N275" s="92">
        <f>H275</f>
        <v>48925.95</v>
      </c>
      <c r="O275" s="84"/>
      <c r="P275" s="31"/>
      <c r="Q275" s="206"/>
      <c r="R275" s="282"/>
    </row>
    <row r="276" spans="1:18" s="90" customFormat="1" x14ac:dyDescent="0.2">
      <c r="A276" s="282"/>
      <c r="B276" s="205"/>
      <c r="C276" s="64"/>
      <c r="D276" s="76" t="s">
        <v>168</v>
      </c>
      <c r="E276" s="476">
        <v>69</v>
      </c>
      <c r="F276" s="451">
        <f>E273/150*1.5</f>
        <v>163.0865</v>
      </c>
      <c r="G276" s="463">
        <f>+F280</f>
        <v>3.5</v>
      </c>
      <c r="H276" s="255">
        <f>+G276*F276*E276</f>
        <v>39385.389750000002</v>
      </c>
      <c r="I276" s="259"/>
      <c r="J276" s="80"/>
      <c r="K276" s="206"/>
      <c r="L276" s="205"/>
      <c r="M276" s="84"/>
      <c r="N276" s="92">
        <f>H276</f>
        <v>39385.389750000002</v>
      </c>
      <c r="O276" s="84"/>
      <c r="P276" s="31"/>
      <c r="Q276" s="206"/>
      <c r="R276" s="282"/>
    </row>
    <row r="277" spans="1:18" s="90" customFormat="1" x14ac:dyDescent="0.2">
      <c r="A277" s="282"/>
      <c r="B277" s="205"/>
      <c r="C277" s="64"/>
      <c r="D277" s="76" t="s">
        <v>15</v>
      </c>
      <c r="E277" s="477" t="s">
        <v>130</v>
      </c>
      <c r="F277" s="451">
        <v>0</v>
      </c>
      <c r="G277" s="255">
        <f>$H$3</f>
        <v>0</v>
      </c>
      <c r="H277" s="255">
        <f>+G277*F277</f>
        <v>0</v>
      </c>
      <c r="I277" s="259"/>
      <c r="J277" s="80"/>
      <c r="K277" s="206"/>
      <c r="L277" s="205"/>
      <c r="M277" s="84"/>
      <c r="N277" s="92">
        <f>H277</f>
        <v>0</v>
      </c>
      <c r="O277" s="84"/>
      <c r="P277" s="31"/>
      <c r="Q277" s="206"/>
      <c r="R277" s="282"/>
    </row>
    <row r="278" spans="1:18" s="90" customFormat="1" x14ac:dyDescent="0.2">
      <c r="A278" s="282"/>
      <c r="B278" s="205"/>
      <c r="C278" s="64"/>
      <c r="D278" s="76" t="s">
        <v>17</v>
      </c>
      <c r="E278" s="477" t="s">
        <v>130</v>
      </c>
      <c r="F278" s="451">
        <v>0</v>
      </c>
      <c r="G278" s="255">
        <f>$H$4</f>
        <v>0</v>
      </c>
      <c r="H278" s="255">
        <f>+G278*F278</f>
        <v>0</v>
      </c>
      <c r="I278" s="259"/>
      <c r="J278" s="80"/>
      <c r="K278" s="206"/>
      <c r="L278" s="205"/>
      <c r="M278" s="84"/>
      <c r="N278" s="92">
        <f>H278</f>
        <v>0</v>
      </c>
      <c r="O278" s="84"/>
      <c r="P278" s="31"/>
      <c r="Q278" s="206"/>
      <c r="R278" s="282"/>
    </row>
    <row r="279" spans="1:18" s="90" customFormat="1" x14ac:dyDescent="0.2">
      <c r="A279" s="282"/>
      <c r="B279" s="205"/>
      <c r="C279" s="64"/>
      <c r="D279" s="76" t="s">
        <v>14</v>
      </c>
      <c r="E279" s="475" t="s">
        <v>175</v>
      </c>
      <c r="F279" s="451">
        <f>E273</f>
        <v>16308.65</v>
      </c>
      <c r="G279" s="255">
        <v>0</v>
      </c>
      <c r="H279" s="255">
        <f>+G279*F279</f>
        <v>0</v>
      </c>
      <c r="I279" s="259"/>
      <c r="J279" s="80"/>
      <c r="K279" s="206"/>
      <c r="L279" s="205"/>
      <c r="M279" s="84"/>
      <c r="N279" s="92"/>
      <c r="O279" s="84">
        <f>SUM(H279)</f>
        <v>0</v>
      </c>
      <c r="P279" s="31"/>
      <c r="Q279" s="206"/>
      <c r="R279" s="282"/>
    </row>
    <row r="280" spans="1:18" s="90" customFormat="1" x14ac:dyDescent="0.2">
      <c r="A280" s="282"/>
      <c r="B280" s="243"/>
      <c r="C280" s="64"/>
      <c r="D280" s="76" t="s">
        <v>167</v>
      </c>
      <c r="E280" s="477" t="s">
        <v>127</v>
      </c>
      <c r="F280" s="456">
        <f>+G274+G275+G279</f>
        <v>3.5</v>
      </c>
      <c r="G280" s="254" t="s">
        <v>153</v>
      </c>
      <c r="H280" s="255">
        <f>SUM(H274:H279)</f>
        <v>96465.664749999996</v>
      </c>
      <c r="I280" s="251"/>
      <c r="J280" s="80"/>
      <c r="K280" s="244"/>
      <c r="L280" s="243"/>
      <c r="M280" s="245"/>
      <c r="N280" s="246"/>
      <c r="O280" s="92"/>
      <c r="P280" s="31"/>
      <c r="Q280" s="244"/>
      <c r="R280" s="282"/>
    </row>
    <row r="281" spans="1:18" s="90" customFormat="1" x14ac:dyDescent="0.2">
      <c r="A281" s="282"/>
      <c r="B281" s="239"/>
      <c r="C281" s="64"/>
      <c r="D281" s="117" t="s">
        <v>152</v>
      </c>
      <c r="E281" s="477" t="s">
        <v>127</v>
      </c>
      <c r="F281" s="451">
        <f>+E273+F276*E276</f>
        <v>27561.6185</v>
      </c>
      <c r="G281" s="466"/>
      <c r="H281" s="255">
        <f>+((F281/2)*F280)/6</f>
        <v>8038.805395833333</v>
      </c>
      <c r="I281" s="256"/>
      <c r="J281" s="242"/>
      <c r="K281" s="240"/>
      <c r="L281" s="239"/>
      <c r="M281" s="84"/>
      <c r="N281" s="93"/>
      <c r="O281" s="94">
        <f>H281</f>
        <v>8038.805395833333</v>
      </c>
      <c r="P281" s="89"/>
      <c r="Q281" s="240"/>
      <c r="R281" s="282"/>
    </row>
    <row r="282" spans="1:18" s="90" customFormat="1" x14ac:dyDescent="0.2">
      <c r="A282" s="282"/>
      <c r="B282" s="239"/>
      <c r="C282" s="64"/>
      <c r="D282" s="117" t="s">
        <v>211</v>
      </c>
      <c r="E282" s="451"/>
      <c r="F282" s="451">
        <f>+E273+F276*E276</f>
        <v>27561.6185</v>
      </c>
      <c r="G282" s="454"/>
      <c r="H282" s="255">
        <f>+(F282/30)*((F280*30)/20)</f>
        <v>4823.2832375000007</v>
      </c>
      <c r="I282" s="257">
        <v>0</v>
      </c>
      <c r="J282" s="94">
        <f>+(H280+H281+H282)*C273</f>
        <v>109327.75338333333</v>
      </c>
      <c r="K282" s="240"/>
      <c r="L282" s="239"/>
      <c r="M282" s="84"/>
      <c r="N282" s="93"/>
      <c r="O282" s="94">
        <f>H282</f>
        <v>4823.2832375000007</v>
      </c>
      <c r="P282" s="89"/>
      <c r="Q282" s="240"/>
      <c r="R282" s="282"/>
    </row>
    <row r="283" spans="1:18" s="90" customFormat="1" x14ac:dyDescent="0.2">
      <c r="A283" s="282"/>
      <c r="B283" s="205"/>
      <c r="C283" s="64"/>
      <c r="D283" s="95"/>
      <c r="E283" s="455"/>
      <c r="F283" s="456"/>
      <c r="G283" s="457"/>
      <c r="H283" s="458"/>
      <c r="I283" s="259"/>
      <c r="J283" s="80"/>
      <c r="K283" s="206"/>
      <c r="L283" s="205"/>
      <c r="M283" s="88"/>
      <c r="N283" s="80"/>
      <c r="O283" s="80"/>
      <c r="P283" s="89"/>
      <c r="Q283" s="206"/>
      <c r="R283" s="282"/>
    </row>
    <row r="284" spans="1:18" s="90" customFormat="1" ht="15" customHeight="1" x14ac:dyDescent="0.2">
      <c r="A284" s="282"/>
      <c r="B284" s="203"/>
      <c r="C284" s="13">
        <v>2</v>
      </c>
      <c r="D284" s="266" t="s">
        <v>187</v>
      </c>
      <c r="E284" s="459">
        <v>13919.35</v>
      </c>
      <c r="F284" s="451"/>
      <c r="G284" s="472"/>
      <c r="H284" s="461"/>
      <c r="I284" s="260"/>
      <c r="J284" s="151"/>
      <c r="K284" s="204"/>
      <c r="L284" s="203"/>
      <c r="M284" s="88"/>
      <c r="N284" s="80"/>
      <c r="O284" s="80"/>
      <c r="P284" s="89"/>
      <c r="Q284" s="204"/>
      <c r="R284" s="282"/>
    </row>
    <row r="285" spans="1:18" s="90" customFormat="1" x14ac:dyDescent="0.2">
      <c r="A285" s="282"/>
      <c r="B285" s="205"/>
      <c r="C285" s="64"/>
      <c r="D285" s="76" t="s">
        <v>93</v>
      </c>
      <c r="E285" s="474" t="s">
        <v>174</v>
      </c>
      <c r="F285" s="451">
        <f>E284</f>
        <v>13919.35</v>
      </c>
      <c r="G285" s="463">
        <v>0</v>
      </c>
      <c r="H285" s="255">
        <f>+G285*F285</f>
        <v>0</v>
      </c>
      <c r="I285" s="259"/>
      <c r="J285" s="80"/>
      <c r="K285" s="206"/>
      <c r="L285" s="205"/>
      <c r="M285" s="84">
        <f>H285</f>
        <v>0</v>
      </c>
      <c r="N285" s="92"/>
      <c r="O285" s="84"/>
      <c r="P285" s="31"/>
      <c r="Q285" s="206"/>
      <c r="R285" s="282"/>
    </row>
    <row r="286" spans="1:18" s="90" customFormat="1" x14ac:dyDescent="0.2">
      <c r="A286" s="282"/>
      <c r="B286" s="205"/>
      <c r="C286" s="64"/>
      <c r="D286" s="76" t="s">
        <v>86</v>
      </c>
      <c r="E286" s="475" t="s">
        <v>174</v>
      </c>
      <c r="F286" s="451">
        <f>E284</f>
        <v>13919.35</v>
      </c>
      <c r="G286" s="463">
        <v>3</v>
      </c>
      <c r="H286" s="255">
        <f>+G286*F286</f>
        <v>41758.050000000003</v>
      </c>
      <c r="I286" s="259"/>
      <c r="J286" s="80"/>
      <c r="K286" s="206"/>
      <c r="L286" s="205"/>
      <c r="M286" s="84"/>
      <c r="N286" s="92">
        <f>H286</f>
        <v>41758.050000000003</v>
      </c>
      <c r="O286" s="84"/>
      <c r="P286" s="31"/>
      <c r="Q286" s="206"/>
      <c r="R286" s="282"/>
    </row>
    <row r="287" spans="1:18" s="90" customFormat="1" x14ac:dyDescent="0.2">
      <c r="A287" s="282"/>
      <c r="B287" s="205"/>
      <c r="C287" s="64"/>
      <c r="D287" s="76" t="s">
        <v>168</v>
      </c>
      <c r="E287" s="343">
        <v>69</v>
      </c>
      <c r="F287" s="250">
        <f>E284/150*1.5</f>
        <v>139.1935</v>
      </c>
      <c r="G287" s="63">
        <f>+F291</f>
        <v>3</v>
      </c>
      <c r="H287" s="28">
        <f>+G287*F287*E287</f>
        <v>28813.054500000002</v>
      </c>
      <c r="I287" s="259"/>
      <c r="J287" s="80"/>
      <c r="K287" s="206"/>
      <c r="L287" s="205"/>
      <c r="M287" s="84"/>
      <c r="N287" s="92">
        <f>H287</f>
        <v>28813.054500000002</v>
      </c>
      <c r="O287" s="84"/>
      <c r="P287" s="31"/>
      <c r="Q287" s="206"/>
      <c r="R287" s="282"/>
    </row>
    <row r="288" spans="1:18" s="90" customFormat="1" x14ac:dyDescent="0.2">
      <c r="A288" s="282"/>
      <c r="B288" s="205"/>
      <c r="C288" s="64"/>
      <c r="D288" s="76" t="s">
        <v>15</v>
      </c>
      <c r="E288" s="344" t="s">
        <v>130</v>
      </c>
      <c r="F288" s="250">
        <f>F284/5*1.5</f>
        <v>0</v>
      </c>
      <c r="G288" s="28">
        <f>$H$3</f>
        <v>0</v>
      </c>
      <c r="H288" s="28">
        <f>+G288*F288</f>
        <v>0</v>
      </c>
      <c r="I288" s="259"/>
      <c r="J288" s="80"/>
      <c r="K288" s="206"/>
      <c r="L288" s="205"/>
      <c r="M288" s="84"/>
      <c r="N288" s="92">
        <f>H288</f>
        <v>0</v>
      </c>
      <c r="O288" s="84"/>
      <c r="P288" s="31"/>
      <c r="Q288" s="206"/>
      <c r="R288" s="282"/>
    </row>
    <row r="289" spans="1:18" s="90" customFormat="1" x14ac:dyDescent="0.2">
      <c r="A289" s="282"/>
      <c r="B289" s="205"/>
      <c r="C289" s="64"/>
      <c r="D289" s="76" t="s">
        <v>17</v>
      </c>
      <c r="E289" s="344" t="s">
        <v>130</v>
      </c>
      <c r="F289" s="451">
        <f>F284/5*2</f>
        <v>0</v>
      </c>
      <c r="G289" s="255">
        <f>$H$4</f>
        <v>0</v>
      </c>
      <c r="H289" s="255">
        <f>+G289*F289</f>
        <v>0</v>
      </c>
      <c r="I289" s="259"/>
      <c r="J289" s="80"/>
      <c r="K289" s="206"/>
      <c r="L289" s="205"/>
      <c r="M289" s="84"/>
      <c r="N289" s="92">
        <f>H289</f>
        <v>0</v>
      </c>
      <c r="O289" s="84"/>
      <c r="P289" s="31"/>
      <c r="Q289" s="206"/>
      <c r="R289" s="282"/>
    </row>
    <row r="290" spans="1:18" s="90" customFormat="1" x14ac:dyDescent="0.2">
      <c r="A290" s="282"/>
      <c r="B290" s="205"/>
      <c r="C290" s="64"/>
      <c r="D290" s="76" t="s">
        <v>14</v>
      </c>
      <c r="E290" s="342" t="s">
        <v>175</v>
      </c>
      <c r="F290" s="451">
        <f>F284</f>
        <v>0</v>
      </c>
      <c r="G290" s="255">
        <v>0</v>
      </c>
      <c r="H290" s="255">
        <f>+G290*F290</f>
        <v>0</v>
      </c>
      <c r="I290" s="259"/>
      <c r="J290" s="80"/>
      <c r="K290" s="206"/>
      <c r="L290" s="205"/>
      <c r="M290" s="84"/>
      <c r="N290" s="92"/>
      <c r="O290" s="84">
        <f>SUM(H290)</f>
        <v>0</v>
      </c>
      <c r="P290" s="31"/>
      <c r="Q290" s="206"/>
      <c r="R290" s="282"/>
    </row>
    <row r="291" spans="1:18" s="90" customFormat="1" x14ac:dyDescent="0.2">
      <c r="A291" s="282"/>
      <c r="B291" s="243"/>
      <c r="C291" s="64"/>
      <c r="D291" s="76" t="s">
        <v>167</v>
      </c>
      <c r="E291" s="344" t="s">
        <v>127</v>
      </c>
      <c r="F291" s="456">
        <f>+G285+G286+G290</f>
        <v>3</v>
      </c>
      <c r="G291" s="254" t="s">
        <v>153</v>
      </c>
      <c r="H291" s="255">
        <f>SUM(H285:H290)</f>
        <v>70571.104500000001</v>
      </c>
      <c r="I291" s="251"/>
      <c r="J291" s="80"/>
      <c r="K291" s="244"/>
      <c r="L291" s="243"/>
      <c r="M291" s="245"/>
      <c r="N291" s="246"/>
      <c r="O291" s="92"/>
      <c r="P291" s="31"/>
      <c r="Q291" s="244"/>
      <c r="R291" s="282"/>
    </row>
    <row r="292" spans="1:18" s="90" customFormat="1" x14ac:dyDescent="0.2">
      <c r="A292" s="282"/>
      <c r="B292" s="239"/>
      <c r="C292" s="64"/>
      <c r="D292" s="117" t="s">
        <v>152</v>
      </c>
      <c r="E292" s="344" t="s">
        <v>127</v>
      </c>
      <c r="F292" s="451">
        <f>+E284+F287*E287</f>
        <v>23523.701500000003</v>
      </c>
      <c r="G292" s="466"/>
      <c r="H292" s="255">
        <f>+((F292/2)*F291)/6</f>
        <v>5880.9253750000016</v>
      </c>
      <c r="I292" s="256"/>
      <c r="J292" s="242"/>
      <c r="K292" s="240"/>
      <c r="L292" s="239"/>
      <c r="M292" s="84"/>
      <c r="N292" s="93"/>
      <c r="O292" s="94">
        <f>H292</f>
        <v>5880.9253750000016</v>
      </c>
      <c r="P292" s="89"/>
      <c r="Q292" s="240"/>
      <c r="R292" s="282"/>
    </row>
    <row r="293" spans="1:18" s="90" customFormat="1" x14ac:dyDescent="0.2">
      <c r="A293" s="282"/>
      <c r="B293" s="239"/>
      <c r="C293" s="64"/>
      <c r="D293" s="117" t="s">
        <v>211</v>
      </c>
      <c r="E293" s="250"/>
      <c r="F293" s="451">
        <f>+E284+F287*E287</f>
        <v>23523.701500000003</v>
      </c>
      <c r="G293" s="454"/>
      <c r="H293" s="255">
        <f>+(F293/30)*((F291*30)/20)</f>
        <v>3528.5552250000005</v>
      </c>
      <c r="I293" s="257">
        <v>0</v>
      </c>
      <c r="J293" s="94">
        <f>+(H291+H292+H293)*C284</f>
        <v>159961.17020000002</v>
      </c>
      <c r="K293" s="240"/>
      <c r="L293" s="239"/>
      <c r="M293" s="84"/>
      <c r="N293" s="93"/>
      <c r="O293" s="94">
        <f>H293</f>
        <v>3528.5552250000005</v>
      </c>
      <c r="P293" s="89"/>
      <c r="Q293" s="240"/>
      <c r="R293" s="282"/>
    </row>
    <row r="294" spans="1:18" s="90" customFormat="1" x14ac:dyDescent="0.2">
      <c r="A294" s="282"/>
      <c r="B294" s="205"/>
      <c r="C294" s="64"/>
      <c r="D294" s="95"/>
      <c r="E294" s="7"/>
      <c r="F294" s="456"/>
      <c r="G294" s="457"/>
      <c r="H294" s="458"/>
      <c r="I294" s="259"/>
      <c r="J294" s="80"/>
      <c r="K294" s="206"/>
      <c r="L294" s="205"/>
      <c r="M294" s="88"/>
      <c r="N294" s="80"/>
      <c r="O294" s="80"/>
      <c r="P294" s="89"/>
      <c r="Q294" s="206"/>
      <c r="R294" s="282"/>
    </row>
    <row r="295" spans="1:18" s="90" customFormat="1" ht="15" customHeight="1" x14ac:dyDescent="0.2">
      <c r="A295" s="282"/>
      <c r="B295" s="203"/>
      <c r="C295" s="13">
        <v>1</v>
      </c>
      <c r="D295" s="266" t="s">
        <v>188</v>
      </c>
      <c r="E295" s="18">
        <v>13919.35</v>
      </c>
      <c r="F295" s="456"/>
      <c r="G295" s="472"/>
      <c r="H295" s="461"/>
      <c r="I295" s="260"/>
      <c r="J295" s="151"/>
      <c r="K295" s="204"/>
      <c r="L295" s="203"/>
      <c r="M295" s="88"/>
      <c r="N295" s="80"/>
      <c r="O295" s="80"/>
      <c r="P295" s="89"/>
      <c r="Q295" s="204"/>
      <c r="R295" s="282"/>
    </row>
    <row r="296" spans="1:18" s="90" customFormat="1" x14ac:dyDescent="0.2">
      <c r="A296" s="282"/>
      <c r="B296" s="205"/>
      <c r="C296" s="64"/>
      <c r="D296" s="76" t="s">
        <v>93</v>
      </c>
      <c r="E296" s="341" t="s">
        <v>174</v>
      </c>
      <c r="F296" s="451">
        <f>E295</f>
        <v>13919.35</v>
      </c>
      <c r="G296" s="463">
        <v>0</v>
      </c>
      <c r="H296" s="255">
        <f t="shared" ref="H296:H301" si="8">+G296*F296</f>
        <v>0</v>
      </c>
      <c r="I296" s="259"/>
      <c r="J296" s="80"/>
      <c r="K296" s="206"/>
      <c r="L296" s="205"/>
      <c r="M296" s="84">
        <f>H296</f>
        <v>0</v>
      </c>
      <c r="N296" s="92"/>
      <c r="O296" s="84"/>
      <c r="P296" s="89"/>
      <c r="Q296" s="206"/>
      <c r="R296" s="282"/>
    </row>
    <row r="297" spans="1:18" s="90" customFormat="1" x14ac:dyDescent="0.2">
      <c r="A297" s="282"/>
      <c r="B297" s="205"/>
      <c r="C297" s="64"/>
      <c r="D297" s="76" t="s">
        <v>86</v>
      </c>
      <c r="E297" s="342" t="s">
        <v>174</v>
      </c>
      <c r="F297" s="451">
        <f>E295</f>
        <v>13919.35</v>
      </c>
      <c r="G297" s="463">
        <v>3</v>
      </c>
      <c r="H297" s="255">
        <f t="shared" si="8"/>
        <v>41758.050000000003</v>
      </c>
      <c r="I297" s="259"/>
      <c r="J297" s="80"/>
      <c r="K297" s="206"/>
      <c r="L297" s="205"/>
      <c r="M297" s="84"/>
      <c r="N297" s="92">
        <f>H297</f>
        <v>41758.050000000003</v>
      </c>
      <c r="O297" s="84"/>
      <c r="P297" s="31"/>
      <c r="Q297" s="206"/>
      <c r="R297" s="282"/>
    </row>
    <row r="298" spans="1:18" s="90" customFormat="1" x14ac:dyDescent="0.2">
      <c r="A298" s="282"/>
      <c r="B298" s="205"/>
      <c r="C298" s="64"/>
      <c r="D298" s="76" t="s">
        <v>168</v>
      </c>
      <c r="E298" s="343">
        <v>69</v>
      </c>
      <c r="F298" s="451">
        <f>E295/150*1.5</f>
        <v>139.1935</v>
      </c>
      <c r="G298" s="463">
        <f>+F302</f>
        <v>3</v>
      </c>
      <c r="H298" s="255">
        <f>+G298*F298*E298</f>
        <v>28813.054500000002</v>
      </c>
      <c r="I298" s="259"/>
      <c r="J298" s="80"/>
      <c r="K298" s="206"/>
      <c r="L298" s="205"/>
      <c r="M298" s="84"/>
      <c r="N298" s="92">
        <f>H298</f>
        <v>28813.054500000002</v>
      </c>
      <c r="O298" s="84"/>
      <c r="P298" s="31"/>
      <c r="Q298" s="206"/>
      <c r="R298" s="282"/>
    </row>
    <row r="299" spans="1:18" s="90" customFormat="1" x14ac:dyDescent="0.2">
      <c r="A299" s="282"/>
      <c r="B299" s="205"/>
      <c r="C299" s="64"/>
      <c r="D299" s="76" t="s">
        <v>15</v>
      </c>
      <c r="E299" s="344" t="s">
        <v>130</v>
      </c>
      <c r="F299" s="451">
        <v>0</v>
      </c>
      <c r="G299" s="255">
        <f>$H$3</f>
        <v>0</v>
      </c>
      <c r="H299" s="255">
        <f t="shared" si="8"/>
        <v>0</v>
      </c>
      <c r="I299" s="259"/>
      <c r="J299" s="80"/>
      <c r="K299" s="206"/>
      <c r="L299" s="205"/>
      <c r="M299" s="84"/>
      <c r="N299" s="92">
        <f>H299</f>
        <v>0</v>
      </c>
      <c r="O299" s="84"/>
      <c r="P299" s="31"/>
      <c r="Q299" s="206"/>
      <c r="R299" s="282"/>
    </row>
    <row r="300" spans="1:18" s="90" customFormat="1" x14ac:dyDescent="0.2">
      <c r="A300" s="282"/>
      <c r="B300" s="205"/>
      <c r="C300" s="64"/>
      <c r="D300" s="76" t="s">
        <v>17</v>
      </c>
      <c r="E300" s="344" t="s">
        <v>130</v>
      </c>
      <c r="F300" s="451">
        <v>0</v>
      </c>
      <c r="G300" s="255">
        <f>$H$4</f>
        <v>0</v>
      </c>
      <c r="H300" s="255">
        <f t="shared" si="8"/>
        <v>0</v>
      </c>
      <c r="I300" s="259"/>
      <c r="J300" s="80"/>
      <c r="K300" s="206"/>
      <c r="L300" s="205"/>
      <c r="M300" s="84"/>
      <c r="N300" s="92">
        <f>H300</f>
        <v>0</v>
      </c>
      <c r="O300" s="84"/>
      <c r="P300" s="31"/>
      <c r="Q300" s="206"/>
      <c r="R300" s="282"/>
    </row>
    <row r="301" spans="1:18" s="90" customFormat="1" x14ac:dyDescent="0.2">
      <c r="A301" s="282"/>
      <c r="B301" s="205"/>
      <c r="C301" s="64"/>
      <c r="D301" s="76" t="s">
        <v>14</v>
      </c>
      <c r="E301" s="342" t="s">
        <v>175</v>
      </c>
      <c r="F301" s="451">
        <f>E295</f>
        <v>13919.35</v>
      </c>
      <c r="G301" s="255">
        <v>0</v>
      </c>
      <c r="H301" s="255">
        <f t="shared" si="8"/>
        <v>0</v>
      </c>
      <c r="I301" s="259"/>
      <c r="J301" s="80"/>
      <c r="K301" s="206"/>
      <c r="L301" s="205"/>
      <c r="M301" s="84"/>
      <c r="N301" s="92"/>
      <c r="O301" s="84">
        <f>SUM(H301)</f>
        <v>0</v>
      </c>
      <c r="P301" s="31"/>
      <c r="Q301" s="206"/>
      <c r="R301" s="282"/>
    </row>
    <row r="302" spans="1:18" s="90" customFormat="1" x14ac:dyDescent="0.2">
      <c r="A302" s="282"/>
      <c r="B302" s="243"/>
      <c r="C302" s="64"/>
      <c r="D302" s="76" t="s">
        <v>167</v>
      </c>
      <c r="E302" s="344" t="s">
        <v>127</v>
      </c>
      <c r="F302" s="456">
        <f>+G296+G297+G301</f>
        <v>3</v>
      </c>
      <c r="G302" s="254" t="s">
        <v>153</v>
      </c>
      <c r="H302" s="255">
        <f>SUM(H296:H301)</f>
        <v>70571.104500000001</v>
      </c>
      <c r="I302" s="251"/>
      <c r="J302" s="80"/>
      <c r="K302" s="244"/>
      <c r="L302" s="243"/>
      <c r="M302" s="245"/>
      <c r="N302" s="246"/>
      <c r="O302" s="92"/>
      <c r="P302" s="31"/>
      <c r="Q302" s="244"/>
      <c r="R302" s="282"/>
    </row>
    <row r="303" spans="1:18" s="90" customFormat="1" x14ac:dyDescent="0.2">
      <c r="A303" s="282"/>
      <c r="B303" s="239"/>
      <c r="C303" s="64"/>
      <c r="D303" s="117" t="s">
        <v>152</v>
      </c>
      <c r="E303" s="344" t="s">
        <v>127</v>
      </c>
      <c r="F303" s="451">
        <f>+E295+F298*E298</f>
        <v>23523.701500000003</v>
      </c>
      <c r="G303" s="466"/>
      <c r="H303" s="255">
        <f>+((F303/2)*F302)/6</f>
        <v>5880.9253750000016</v>
      </c>
      <c r="I303" s="256"/>
      <c r="J303" s="242"/>
      <c r="K303" s="240"/>
      <c r="L303" s="239"/>
      <c r="M303" s="84"/>
      <c r="N303" s="93"/>
      <c r="O303" s="94">
        <f>H303</f>
        <v>5880.9253750000016</v>
      </c>
      <c r="P303" s="89"/>
      <c r="Q303" s="240"/>
      <c r="R303" s="282"/>
    </row>
    <row r="304" spans="1:18" s="90" customFormat="1" x14ac:dyDescent="0.2">
      <c r="A304" s="282"/>
      <c r="B304" s="239"/>
      <c r="C304" s="64"/>
      <c r="D304" s="117" t="s">
        <v>211</v>
      </c>
      <c r="E304" s="250"/>
      <c r="F304" s="451">
        <f>+E295+F298*E298</f>
        <v>23523.701500000003</v>
      </c>
      <c r="G304" s="454"/>
      <c r="H304" s="255">
        <f>+(F304/30)*((F302*30)/20)</f>
        <v>3528.5552250000005</v>
      </c>
      <c r="I304" s="257">
        <v>0</v>
      </c>
      <c r="J304" s="94">
        <f>+(H302+H303+H304)*C295</f>
        <v>79980.585100000011</v>
      </c>
      <c r="K304" s="240"/>
      <c r="L304" s="239"/>
      <c r="M304" s="84"/>
      <c r="N304" s="93"/>
      <c r="O304" s="94">
        <f>H304</f>
        <v>3528.5552250000005</v>
      </c>
      <c r="P304" s="89"/>
      <c r="Q304" s="240"/>
      <c r="R304" s="282"/>
    </row>
    <row r="305" spans="1:18" s="90" customFormat="1" x14ac:dyDescent="0.2">
      <c r="A305" s="282"/>
      <c r="B305" s="205"/>
      <c r="C305" s="64"/>
      <c r="D305" s="95"/>
      <c r="E305" s="7"/>
      <c r="F305" s="456"/>
      <c r="G305" s="457"/>
      <c r="H305" s="458"/>
      <c r="I305" s="259"/>
      <c r="J305" s="80"/>
      <c r="K305" s="206"/>
      <c r="L305" s="205"/>
      <c r="M305" s="88"/>
      <c r="N305" s="80"/>
      <c r="O305" s="80"/>
      <c r="P305" s="89"/>
      <c r="Q305" s="206"/>
      <c r="R305" s="282"/>
    </row>
    <row r="306" spans="1:18" s="90" customFormat="1" ht="15" customHeight="1" x14ac:dyDescent="0.2">
      <c r="A306" s="282"/>
      <c r="B306" s="203"/>
      <c r="C306" s="13">
        <v>1</v>
      </c>
      <c r="D306" s="266" t="s">
        <v>244</v>
      </c>
      <c r="E306" s="18">
        <v>21984.36</v>
      </c>
      <c r="F306" s="456"/>
      <c r="G306" s="472"/>
      <c r="H306" s="461"/>
      <c r="I306" s="260"/>
      <c r="J306" s="151"/>
      <c r="K306" s="204"/>
      <c r="L306" s="203"/>
      <c r="M306" s="88"/>
      <c r="N306" s="80"/>
      <c r="O306" s="80"/>
      <c r="P306" s="89"/>
      <c r="Q306" s="204"/>
      <c r="R306" s="282"/>
    </row>
    <row r="307" spans="1:18" s="90" customFormat="1" x14ac:dyDescent="0.2">
      <c r="A307" s="282"/>
      <c r="B307" s="205"/>
      <c r="C307" s="64"/>
      <c r="D307" s="76" t="s">
        <v>93</v>
      </c>
      <c r="E307" s="341" t="s">
        <v>174</v>
      </c>
      <c r="F307" s="451">
        <f>E306</f>
        <v>21984.36</v>
      </c>
      <c r="G307" s="463">
        <v>1.5</v>
      </c>
      <c r="H307" s="255">
        <f t="shared" ref="H307:H312" si="9">+G307*F307</f>
        <v>32976.54</v>
      </c>
      <c r="I307" s="259"/>
      <c r="J307" s="80"/>
      <c r="K307" s="206"/>
      <c r="L307" s="205"/>
      <c r="M307" s="84">
        <f>H307</f>
        <v>32976.54</v>
      </c>
      <c r="N307" s="92"/>
      <c r="O307" s="84"/>
      <c r="P307" s="31"/>
      <c r="Q307" s="206"/>
      <c r="R307" s="282"/>
    </row>
    <row r="308" spans="1:18" s="90" customFormat="1" x14ac:dyDescent="0.2">
      <c r="A308" s="282"/>
      <c r="B308" s="205"/>
      <c r="C308" s="64"/>
      <c r="D308" s="76" t="s">
        <v>86</v>
      </c>
      <c r="E308" s="342" t="s">
        <v>174</v>
      </c>
      <c r="F308" s="451">
        <f>E306</f>
        <v>21984.36</v>
      </c>
      <c r="G308" s="463">
        <v>3</v>
      </c>
      <c r="H308" s="255">
        <f t="shared" si="9"/>
        <v>65953.08</v>
      </c>
      <c r="I308" s="259"/>
      <c r="J308" s="80"/>
      <c r="K308" s="206"/>
      <c r="L308" s="205"/>
      <c r="M308" s="84"/>
      <c r="N308" s="92">
        <f>H308</f>
        <v>65953.08</v>
      </c>
      <c r="O308" s="84"/>
      <c r="P308" s="31"/>
      <c r="Q308" s="206"/>
      <c r="R308" s="282"/>
    </row>
    <row r="309" spans="1:18" s="90" customFormat="1" x14ac:dyDescent="0.2">
      <c r="A309" s="282"/>
      <c r="B309" s="205"/>
      <c r="C309" s="64"/>
      <c r="D309" s="76" t="s">
        <v>168</v>
      </c>
      <c r="E309" s="343">
        <v>69</v>
      </c>
      <c r="F309" s="451">
        <f>E306/150*1.5</f>
        <v>219.84359999999998</v>
      </c>
      <c r="G309" s="463">
        <f>+F313</f>
        <v>4.5</v>
      </c>
      <c r="H309" s="255">
        <f>+G309*F309*E309</f>
        <v>68261.437799999985</v>
      </c>
      <c r="I309" s="259"/>
      <c r="J309" s="80"/>
      <c r="K309" s="206"/>
      <c r="L309" s="205"/>
      <c r="M309" s="84"/>
      <c r="N309" s="92">
        <f>H309</f>
        <v>68261.437799999985</v>
      </c>
      <c r="O309" s="84"/>
      <c r="P309" s="31"/>
      <c r="Q309" s="206"/>
      <c r="R309" s="282"/>
    </row>
    <row r="310" spans="1:18" s="90" customFormat="1" x14ac:dyDescent="0.2">
      <c r="A310" s="282"/>
      <c r="B310" s="205"/>
      <c r="C310" s="64"/>
      <c r="D310" s="76" t="s">
        <v>15</v>
      </c>
      <c r="E310" s="344" t="s">
        <v>130</v>
      </c>
      <c r="F310" s="451">
        <v>0</v>
      </c>
      <c r="G310" s="255">
        <f>$H$3</f>
        <v>0</v>
      </c>
      <c r="H310" s="255">
        <f t="shared" si="9"/>
        <v>0</v>
      </c>
      <c r="I310" s="259"/>
      <c r="J310" s="80"/>
      <c r="K310" s="206"/>
      <c r="L310" s="205"/>
      <c r="M310" s="84"/>
      <c r="N310" s="92">
        <f>H310</f>
        <v>0</v>
      </c>
      <c r="O310" s="84"/>
      <c r="P310" s="31"/>
      <c r="Q310" s="206"/>
      <c r="R310" s="282"/>
    </row>
    <row r="311" spans="1:18" s="90" customFormat="1" x14ac:dyDescent="0.2">
      <c r="A311" s="282"/>
      <c r="B311" s="205"/>
      <c r="C311" s="64"/>
      <c r="D311" s="76" t="s">
        <v>17</v>
      </c>
      <c r="E311" s="344" t="s">
        <v>130</v>
      </c>
      <c r="F311" s="451">
        <v>0</v>
      </c>
      <c r="G311" s="255">
        <f>$H$4</f>
        <v>0</v>
      </c>
      <c r="H311" s="255">
        <f t="shared" si="9"/>
        <v>0</v>
      </c>
      <c r="I311" s="259"/>
      <c r="J311" s="80"/>
      <c r="K311" s="206"/>
      <c r="L311" s="205"/>
      <c r="M311" s="84"/>
      <c r="N311" s="92">
        <f>H311</f>
        <v>0</v>
      </c>
      <c r="O311" s="84"/>
      <c r="P311" s="31"/>
      <c r="Q311" s="206"/>
      <c r="R311" s="282"/>
    </row>
    <row r="312" spans="1:18" s="90" customFormat="1" x14ac:dyDescent="0.2">
      <c r="A312" s="282"/>
      <c r="B312" s="205"/>
      <c r="C312" s="64"/>
      <c r="D312" s="76" t="s">
        <v>14</v>
      </c>
      <c r="E312" s="342" t="s">
        <v>175</v>
      </c>
      <c r="F312" s="451">
        <f>E306</f>
        <v>21984.36</v>
      </c>
      <c r="G312" s="255">
        <v>0</v>
      </c>
      <c r="H312" s="255">
        <f t="shared" si="9"/>
        <v>0</v>
      </c>
      <c r="I312" s="259"/>
      <c r="J312" s="80"/>
      <c r="K312" s="206"/>
      <c r="L312" s="205"/>
      <c r="M312" s="84"/>
      <c r="N312" s="92"/>
      <c r="O312" s="84">
        <f>SUM(H312)</f>
        <v>0</v>
      </c>
      <c r="P312" s="31"/>
      <c r="Q312" s="206"/>
      <c r="R312" s="282"/>
    </row>
    <row r="313" spans="1:18" s="90" customFormat="1" x14ac:dyDescent="0.2">
      <c r="A313" s="282"/>
      <c r="B313" s="243"/>
      <c r="C313" s="64"/>
      <c r="D313" s="76" t="s">
        <v>167</v>
      </c>
      <c r="E313" s="344" t="s">
        <v>127</v>
      </c>
      <c r="F313" s="456">
        <f>+G307+G308+G312</f>
        <v>4.5</v>
      </c>
      <c r="G313" s="254" t="s">
        <v>153</v>
      </c>
      <c r="H313" s="255">
        <f>SUM(H307:H312)</f>
        <v>167191.05779999998</v>
      </c>
      <c r="I313" s="251"/>
      <c r="J313" s="80"/>
      <c r="K313" s="244"/>
      <c r="L313" s="243"/>
      <c r="M313" s="245"/>
      <c r="N313" s="246"/>
      <c r="O313" s="92"/>
      <c r="P313" s="31"/>
      <c r="Q313" s="244"/>
      <c r="R313" s="282"/>
    </row>
    <row r="314" spans="1:18" s="90" customFormat="1" x14ac:dyDescent="0.2">
      <c r="A314" s="282"/>
      <c r="B314" s="239"/>
      <c r="C314" s="64"/>
      <c r="D314" s="117" t="s">
        <v>152</v>
      </c>
      <c r="E314" s="344" t="s">
        <v>127</v>
      </c>
      <c r="F314" s="451">
        <f>+E306+F309*E309</f>
        <v>37153.568400000004</v>
      </c>
      <c r="G314" s="466"/>
      <c r="H314" s="255">
        <f>+((F314/2)*F313)/6</f>
        <v>13932.588150000001</v>
      </c>
      <c r="I314" s="256"/>
      <c r="J314" s="242"/>
      <c r="K314" s="240"/>
      <c r="L314" s="239"/>
      <c r="M314" s="84"/>
      <c r="N314" s="93"/>
      <c r="O314" s="94">
        <f>H314</f>
        <v>13932.588150000001</v>
      </c>
      <c r="P314" s="89"/>
      <c r="Q314" s="240"/>
      <c r="R314" s="282"/>
    </row>
    <row r="315" spans="1:18" s="90" customFormat="1" x14ac:dyDescent="0.2">
      <c r="A315" s="282"/>
      <c r="B315" s="239"/>
      <c r="C315" s="64"/>
      <c r="D315" s="117" t="s">
        <v>211</v>
      </c>
      <c r="E315" s="250"/>
      <c r="F315" s="451">
        <f>+E306+F309*E309</f>
        <v>37153.568400000004</v>
      </c>
      <c r="G315" s="454"/>
      <c r="H315" s="255">
        <f>+(F315/30)*((F313*30)/20)</f>
        <v>8359.5528900000008</v>
      </c>
      <c r="I315" s="257">
        <v>0</v>
      </c>
      <c r="J315" s="94">
        <f>+(H313+H314+H315)*C306</f>
        <v>189483.19883999997</v>
      </c>
      <c r="K315" s="240"/>
      <c r="L315" s="239"/>
      <c r="M315" s="84"/>
      <c r="N315" s="93"/>
      <c r="O315" s="94">
        <f>H315</f>
        <v>8359.5528900000008</v>
      </c>
      <c r="P315" s="89"/>
      <c r="Q315" s="240"/>
      <c r="R315" s="282"/>
    </row>
    <row r="316" spans="1:18" s="90" customFormat="1" x14ac:dyDescent="0.2">
      <c r="A316" s="282"/>
      <c r="B316" s="205"/>
      <c r="C316" s="64"/>
      <c r="D316" s="95"/>
      <c r="E316" s="7"/>
      <c r="F316" s="456"/>
      <c r="G316" s="457"/>
      <c r="H316" s="458"/>
      <c r="I316" s="259"/>
      <c r="J316" s="80"/>
      <c r="K316" s="206"/>
      <c r="L316" s="205"/>
      <c r="M316" s="88"/>
      <c r="N316" s="80"/>
      <c r="O316" s="80"/>
      <c r="P316" s="89"/>
      <c r="Q316" s="206"/>
      <c r="R316" s="282"/>
    </row>
    <row r="317" spans="1:18" s="90" customFormat="1" ht="15" customHeight="1" x14ac:dyDescent="0.2">
      <c r="A317" s="282"/>
      <c r="B317" s="203"/>
      <c r="C317" s="13">
        <v>1</v>
      </c>
      <c r="D317" s="266" t="s">
        <v>189</v>
      </c>
      <c r="E317" s="18">
        <v>16308.65</v>
      </c>
      <c r="F317" s="456"/>
      <c r="G317" s="472"/>
      <c r="H317" s="461"/>
      <c r="I317" s="260"/>
      <c r="J317" s="151"/>
      <c r="K317" s="204"/>
      <c r="L317" s="203"/>
      <c r="M317" s="88"/>
      <c r="N317" s="80"/>
      <c r="O317" s="80"/>
      <c r="P317" s="89"/>
      <c r="Q317" s="204"/>
      <c r="R317" s="282"/>
    </row>
    <row r="318" spans="1:18" s="90" customFormat="1" x14ac:dyDescent="0.2">
      <c r="A318" s="282"/>
      <c r="B318" s="243"/>
      <c r="C318" s="64"/>
      <c r="D318" s="76" t="s">
        <v>93</v>
      </c>
      <c r="E318" s="341" t="s">
        <v>174</v>
      </c>
      <c r="F318" s="451">
        <f>E317</f>
        <v>16308.65</v>
      </c>
      <c r="G318" s="463">
        <v>1.5</v>
      </c>
      <c r="H318" s="255">
        <f>+G318*F318</f>
        <v>24462.974999999999</v>
      </c>
      <c r="I318" s="259"/>
      <c r="J318" s="80"/>
      <c r="K318" s="244"/>
      <c r="L318" s="243"/>
      <c r="M318" s="84">
        <f>H318</f>
        <v>24462.974999999999</v>
      </c>
      <c r="N318" s="92"/>
      <c r="O318" s="84"/>
      <c r="P318" s="31"/>
      <c r="Q318" s="244"/>
      <c r="R318" s="282"/>
    </row>
    <row r="319" spans="1:18" s="90" customFormat="1" x14ac:dyDescent="0.2">
      <c r="A319" s="282"/>
      <c r="B319" s="243"/>
      <c r="C319" s="64"/>
      <c r="D319" s="76" t="s">
        <v>86</v>
      </c>
      <c r="E319" s="342" t="s">
        <v>174</v>
      </c>
      <c r="F319" s="451">
        <f>E317</f>
        <v>16308.65</v>
      </c>
      <c r="G319" s="463">
        <v>3</v>
      </c>
      <c r="H319" s="255">
        <f>+G319*F319</f>
        <v>48925.95</v>
      </c>
      <c r="I319" s="259"/>
      <c r="J319" s="80"/>
      <c r="K319" s="244"/>
      <c r="L319" s="243"/>
      <c r="M319" s="84"/>
      <c r="N319" s="92">
        <f>H319</f>
        <v>48925.95</v>
      </c>
      <c r="O319" s="84"/>
      <c r="P319" s="31"/>
      <c r="Q319" s="244"/>
      <c r="R319" s="282"/>
    </row>
    <row r="320" spans="1:18" s="90" customFormat="1" x14ac:dyDescent="0.2">
      <c r="A320" s="282"/>
      <c r="B320" s="243"/>
      <c r="C320" s="64"/>
      <c r="D320" s="76" t="s">
        <v>168</v>
      </c>
      <c r="E320" s="343">
        <v>69</v>
      </c>
      <c r="F320" s="451">
        <f>E317/150*1.5</f>
        <v>163.0865</v>
      </c>
      <c r="G320" s="463">
        <f>+F324</f>
        <v>5</v>
      </c>
      <c r="H320" s="255">
        <f>+G320*F320*E320</f>
        <v>56264.842499999999</v>
      </c>
      <c r="I320" s="259"/>
      <c r="J320" s="80"/>
      <c r="K320" s="244"/>
      <c r="L320" s="243"/>
      <c r="M320" s="84"/>
      <c r="N320" s="92">
        <f>H320</f>
        <v>56264.842499999999</v>
      </c>
      <c r="O320" s="84"/>
      <c r="P320" s="31"/>
      <c r="Q320" s="244"/>
      <c r="R320" s="282"/>
    </row>
    <row r="321" spans="1:18" s="90" customFormat="1" x14ac:dyDescent="0.2">
      <c r="A321" s="282"/>
      <c r="B321" s="243"/>
      <c r="C321" s="64"/>
      <c r="D321" s="76" t="s">
        <v>15</v>
      </c>
      <c r="E321" s="344" t="s">
        <v>130</v>
      </c>
      <c r="F321" s="451">
        <v>0</v>
      </c>
      <c r="G321" s="255">
        <f>$H$3</f>
        <v>0</v>
      </c>
      <c r="H321" s="255">
        <f>+G321*F321</f>
        <v>0</v>
      </c>
      <c r="I321" s="259"/>
      <c r="J321" s="80"/>
      <c r="K321" s="244"/>
      <c r="L321" s="243"/>
      <c r="M321" s="84"/>
      <c r="N321" s="92">
        <f>H321</f>
        <v>0</v>
      </c>
      <c r="O321" s="84"/>
      <c r="P321" s="31"/>
      <c r="Q321" s="244"/>
      <c r="R321" s="282"/>
    </row>
    <row r="322" spans="1:18" s="90" customFormat="1" x14ac:dyDescent="0.2">
      <c r="A322" s="282"/>
      <c r="B322" s="243"/>
      <c r="C322" s="64"/>
      <c r="D322" s="76" t="s">
        <v>17</v>
      </c>
      <c r="E322" s="344" t="s">
        <v>130</v>
      </c>
      <c r="F322" s="451">
        <v>0</v>
      </c>
      <c r="G322" s="255">
        <f>$H$4</f>
        <v>0</v>
      </c>
      <c r="H322" s="255">
        <f>+G322*F322</f>
        <v>0</v>
      </c>
      <c r="I322" s="259"/>
      <c r="J322" s="80"/>
      <c r="K322" s="244"/>
      <c r="L322" s="243"/>
      <c r="M322" s="84"/>
      <c r="N322" s="92">
        <f>H322</f>
        <v>0</v>
      </c>
      <c r="O322" s="84"/>
      <c r="P322" s="31"/>
      <c r="Q322" s="244"/>
      <c r="R322" s="282"/>
    </row>
    <row r="323" spans="1:18" s="90" customFormat="1" x14ac:dyDescent="0.2">
      <c r="A323" s="282"/>
      <c r="B323" s="243"/>
      <c r="C323" s="64"/>
      <c r="D323" s="76" t="s">
        <v>14</v>
      </c>
      <c r="E323" s="342" t="s">
        <v>175</v>
      </c>
      <c r="F323" s="451">
        <f>E317</f>
        <v>16308.65</v>
      </c>
      <c r="G323" s="463">
        <v>0.5</v>
      </c>
      <c r="H323" s="255">
        <f>+G323*F323</f>
        <v>8154.3249999999998</v>
      </c>
      <c r="I323" s="259"/>
      <c r="J323" s="80"/>
      <c r="K323" s="244"/>
      <c r="L323" s="243"/>
      <c r="M323" s="84"/>
      <c r="N323" s="92"/>
      <c r="O323" s="84">
        <f>SUM(H323)</f>
        <v>8154.3249999999998</v>
      </c>
      <c r="P323" s="31"/>
      <c r="Q323" s="244"/>
      <c r="R323" s="282"/>
    </row>
    <row r="324" spans="1:18" s="90" customFormat="1" x14ac:dyDescent="0.2">
      <c r="A324" s="282"/>
      <c r="B324" s="243"/>
      <c r="C324" s="64"/>
      <c r="D324" s="76" t="s">
        <v>167</v>
      </c>
      <c r="E324" s="344" t="s">
        <v>127</v>
      </c>
      <c r="F324" s="456">
        <f>+G318+G319+G323</f>
        <v>5</v>
      </c>
      <c r="G324" s="254" t="s">
        <v>153</v>
      </c>
      <c r="H324" s="255">
        <f>SUM(H318:H323)</f>
        <v>137808.0925</v>
      </c>
      <c r="I324" s="251"/>
      <c r="J324" s="80"/>
      <c r="K324" s="244"/>
      <c r="L324" s="243"/>
      <c r="M324" s="245"/>
      <c r="N324" s="246"/>
      <c r="O324" s="92"/>
      <c r="P324" s="31"/>
      <c r="Q324" s="244"/>
      <c r="R324" s="282"/>
    </row>
    <row r="325" spans="1:18" s="90" customFormat="1" x14ac:dyDescent="0.2">
      <c r="A325" s="282"/>
      <c r="B325" s="243"/>
      <c r="C325" s="64"/>
      <c r="D325" s="117" t="s">
        <v>152</v>
      </c>
      <c r="E325" s="344" t="s">
        <v>127</v>
      </c>
      <c r="F325" s="451">
        <f>+E317+F320*E320</f>
        <v>27561.6185</v>
      </c>
      <c r="G325" s="466"/>
      <c r="H325" s="255">
        <f>+((F325/2)*F324)/6</f>
        <v>11484.007708333333</v>
      </c>
      <c r="I325" s="256"/>
      <c r="J325" s="242"/>
      <c r="K325" s="244"/>
      <c r="L325" s="243"/>
      <c r="M325" s="84"/>
      <c r="N325" s="93"/>
      <c r="O325" s="94">
        <f>H325</f>
        <v>11484.007708333333</v>
      </c>
      <c r="P325" s="89"/>
      <c r="Q325" s="244"/>
      <c r="R325" s="282"/>
    </row>
    <row r="326" spans="1:18" s="90" customFormat="1" x14ac:dyDescent="0.2">
      <c r="A326" s="282"/>
      <c r="B326" s="243"/>
      <c r="C326" s="64"/>
      <c r="D326" s="117" t="s">
        <v>211</v>
      </c>
      <c r="E326" s="250"/>
      <c r="F326" s="451">
        <f>+E317+F320*E320</f>
        <v>27561.6185</v>
      </c>
      <c r="G326" s="454"/>
      <c r="H326" s="255">
        <f>+(F326/30)*((F324*30)/20)</f>
        <v>6890.4046250000001</v>
      </c>
      <c r="I326" s="257">
        <v>0</v>
      </c>
      <c r="J326" s="94">
        <f>+(H324+H325+H326)*C317</f>
        <v>156182.50483333334</v>
      </c>
      <c r="K326" s="244"/>
      <c r="L326" s="243"/>
      <c r="M326" s="84"/>
      <c r="N326" s="93"/>
      <c r="O326" s="94">
        <f>H326</f>
        <v>6890.4046250000001</v>
      </c>
      <c r="P326" s="89"/>
      <c r="Q326" s="244"/>
      <c r="R326" s="282"/>
    </row>
    <row r="327" spans="1:18" s="90" customFormat="1" x14ac:dyDescent="0.2">
      <c r="A327" s="282"/>
      <c r="B327" s="243"/>
      <c r="C327" s="64"/>
      <c r="D327" s="95"/>
      <c r="E327" s="7"/>
      <c r="F327" s="456"/>
      <c r="G327" s="457"/>
      <c r="H327" s="458"/>
      <c r="I327" s="259"/>
      <c r="J327" s="80"/>
      <c r="K327" s="244"/>
      <c r="L327" s="243"/>
      <c r="M327" s="88"/>
      <c r="N327" s="80"/>
      <c r="O327" s="80"/>
      <c r="P327" s="89"/>
      <c r="Q327" s="244"/>
      <c r="R327" s="282"/>
    </row>
    <row r="328" spans="1:18" s="90" customFormat="1" ht="15" customHeight="1" x14ac:dyDescent="0.2">
      <c r="A328" s="282"/>
      <c r="B328" s="203"/>
      <c r="C328" s="13">
        <v>1</v>
      </c>
      <c r="D328" s="266" t="s">
        <v>190</v>
      </c>
      <c r="E328" s="18">
        <v>13919.35</v>
      </c>
      <c r="F328" s="247"/>
      <c r="G328" s="34"/>
      <c r="H328" s="248"/>
      <c r="I328" s="260"/>
      <c r="J328" s="151"/>
      <c r="K328" s="204"/>
      <c r="L328" s="203"/>
      <c r="M328" s="88"/>
      <c r="N328" s="80"/>
      <c r="O328" s="80"/>
      <c r="P328" s="89"/>
      <c r="Q328" s="204"/>
      <c r="R328" s="282"/>
    </row>
    <row r="329" spans="1:18" s="90" customFormat="1" x14ac:dyDescent="0.2">
      <c r="A329" s="282"/>
      <c r="B329" s="243"/>
      <c r="C329" s="64"/>
      <c r="D329" s="76" t="s">
        <v>93</v>
      </c>
      <c r="E329" s="341" t="s">
        <v>174</v>
      </c>
      <c r="F329" s="250">
        <f>E328</f>
        <v>13919.35</v>
      </c>
      <c r="G329" s="63">
        <v>1</v>
      </c>
      <c r="H329" s="28">
        <f>+G329*F329</f>
        <v>13919.35</v>
      </c>
      <c r="I329" s="259"/>
      <c r="J329" s="80"/>
      <c r="K329" s="244"/>
      <c r="L329" s="243"/>
      <c r="M329" s="84">
        <f>H329</f>
        <v>13919.35</v>
      </c>
      <c r="N329" s="92"/>
      <c r="O329" s="84"/>
      <c r="P329" s="31"/>
      <c r="Q329" s="244"/>
      <c r="R329" s="282"/>
    </row>
    <row r="330" spans="1:18" s="90" customFormat="1" x14ac:dyDescent="0.2">
      <c r="A330" s="282"/>
      <c r="B330" s="243"/>
      <c r="C330" s="64"/>
      <c r="D330" s="76" t="s">
        <v>86</v>
      </c>
      <c r="E330" s="342" t="s">
        <v>174</v>
      </c>
      <c r="F330" s="451">
        <f>E328</f>
        <v>13919.35</v>
      </c>
      <c r="G330" s="463">
        <v>3</v>
      </c>
      <c r="H330" s="255">
        <f>+G330*F330</f>
        <v>41758.050000000003</v>
      </c>
      <c r="I330" s="259"/>
      <c r="J330" s="80"/>
      <c r="K330" s="244"/>
      <c r="L330" s="243"/>
      <c r="M330" s="84"/>
      <c r="N330" s="92">
        <f>H330</f>
        <v>41758.050000000003</v>
      </c>
      <c r="O330" s="84"/>
      <c r="P330" s="31"/>
      <c r="Q330" s="244"/>
      <c r="R330" s="282"/>
    </row>
    <row r="331" spans="1:18" s="90" customFormat="1" x14ac:dyDescent="0.2">
      <c r="A331" s="282"/>
      <c r="B331" s="243"/>
      <c r="C331" s="64"/>
      <c r="D331" s="76" t="s">
        <v>168</v>
      </c>
      <c r="E331" s="343">
        <v>69</v>
      </c>
      <c r="F331" s="451">
        <f>E328/150*1.5</f>
        <v>139.1935</v>
      </c>
      <c r="G331" s="463">
        <f>+F335</f>
        <v>4.5</v>
      </c>
      <c r="H331" s="255">
        <f>+G331*F331*E331</f>
        <v>43219.581750000005</v>
      </c>
      <c r="I331" s="259"/>
      <c r="J331" s="80"/>
      <c r="K331" s="244"/>
      <c r="L331" s="243"/>
      <c r="M331" s="84"/>
      <c r="N331" s="92">
        <f>H331</f>
        <v>43219.581750000005</v>
      </c>
      <c r="O331" s="84"/>
      <c r="P331" s="31"/>
      <c r="Q331" s="244"/>
      <c r="R331" s="282"/>
    </row>
    <row r="332" spans="1:18" s="90" customFormat="1" x14ac:dyDescent="0.2">
      <c r="A332" s="282"/>
      <c r="B332" s="243"/>
      <c r="C332" s="64"/>
      <c r="D332" s="76" t="s">
        <v>15</v>
      </c>
      <c r="E332" s="344" t="s">
        <v>130</v>
      </c>
      <c r="F332" s="451">
        <v>0</v>
      </c>
      <c r="G332" s="255">
        <f>$H$3</f>
        <v>0</v>
      </c>
      <c r="H332" s="255">
        <f>+G332*F332</f>
        <v>0</v>
      </c>
      <c r="I332" s="259"/>
      <c r="J332" s="80"/>
      <c r="K332" s="244"/>
      <c r="L332" s="243"/>
      <c r="M332" s="84"/>
      <c r="N332" s="92">
        <f>H332</f>
        <v>0</v>
      </c>
      <c r="O332" s="84"/>
      <c r="P332" s="31"/>
      <c r="Q332" s="244"/>
      <c r="R332" s="282"/>
    </row>
    <row r="333" spans="1:18" s="90" customFormat="1" x14ac:dyDescent="0.2">
      <c r="A333" s="282"/>
      <c r="B333" s="243"/>
      <c r="C333" s="64"/>
      <c r="D333" s="76" t="s">
        <v>17</v>
      </c>
      <c r="E333" s="344" t="s">
        <v>130</v>
      </c>
      <c r="F333" s="451">
        <v>0</v>
      </c>
      <c r="G333" s="255">
        <f>$H$4</f>
        <v>0</v>
      </c>
      <c r="H333" s="255">
        <f>+G333*F333</f>
        <v>0</v>
      </c>
      <c r="I333" s="259"/>
      <c r="J333" s="80"/>
      <c r="K333" s="244"/>
      <c r="L333" s="243"/>
      <c r="M333" s="84"/>
      <c r="N333" s="92">
        <f>H333</f>
        <v>0</v>
      </c>
      <c r="O333" s="84"/>
      <c r="P333" s="31"/>
      <c r="Q333" s="244"/>
      <c r="R333" s="282"/>
    </row>
    <row r="334" spans="1:18" s="90" customFormat="1" x14ac:dyDescent="0.2">
      <c r="A334" s="282"/>
      <c r="B334" s="243"/>
      <c r="C334" s="64"/>
      <c r="D334" s="76" t="s">
        <v>14</v>
      </c>
      <c r="E334" s="342" t="s">
        <v>175</v>
      </c>
      <c r="F334" s="451">
        <f>E328</f>
        <v>13919.35</v>
      </c>
      <c r="G334" s="255">
        <v>0.5</v>
      </c>
      <c r="H334" s="255">
        <f>+G334*F334</f>
        <v>6959.6750000000002</v>
      </c>
      <c r="I334" s="259"/>
      <c r="J334" s="80"/>
      <c r="K334" s="244"/>
      <c r="L334" s="243"/>
      <c r="M334" s="84"/>
      <c r="N334" s="92"/>
      <c r="O334" s="84">
        <f>SUM(H334)</f>
        <v>6959.6750000000002</v>
      </c>
      <c r="P334" s="31"/>
      <c r="Q334" s="244"/>
      <c r="R334" s="282"/>
    </row>
    <row r="335" spans="1:18" s="90" customFormat="1" x14ac:dyDescent="0.2">
      <c r="A335" s="282"/>
      <c r="B335" s="243"/>
      <c r="C335" s="64"/>
      <c r="D335" s="76" t="s">
        <v>167</v>
      </c>
      <c r="E335" s="344" t="s">
        <v>127</v>
      </c>
      <c r="F335" s="456">
        <f>+G329+G330+G334</f>
        <v>4.5</v>
      </c>
      <c r="G335" s="254" t="s">
        <v>153</v>
      </c>
      <c r="H335" s="255">
        <f>SUM(H329:H334)</f>
        <v>105856.65675000001</v>
      </c>
      <c r="I335" s="251"/>
      <c r="J335" s="80"/>
      <c r="K335" s="244"/>
      <c r="L335" s="243"/>
      <c r="M335" s="245"/>
      <c r="N335" s="246"/>
      <c r="O335" s="92"/>
      <c r="P335" s="31"/>
      <c r="Q335" s="244"/>
      <c r="R335" s="282"/>
    </row>
    <row r="336" spans="1:18" s="90" customFormat="1" x14ac:dyDescent="0.2">
      <c r="A336" s="282"/>
      <c r="B336" s="243"/>
      <c r="C336" s="64"/>
      <c r="D336" s="117" t="s">
        <v>152</v>
      </c>
      <c r="E336" s="344" t="s">
        <v>127</v>
      </c>
      <c r="F336" s="451">
        <f>+E328+F331*E331</f>
        <v>23523.701500000003</v>
      </c>
      <c r="G336" s="466"/>
      <c r="H336" s="255">
        <f>+((F336/2)*F335)/6</f>
        <v>8821.3880625000002</v>
      </c>
      <c r="I336" s="256"/>
      <c r="J336" s="242"/>
      <c r="K336" s="244"/>
      <c r="L336" s="243"/>
      <c r="M336" s="84"/>
      <c r="N336" s="93"/>
      <c r="O336" s="94">
        <f>H336</f>
        <v>8821.3880625000002</v>
      </c>
      <c r="P336" s="89"/>
      <c r="Q336" s="244"/>
      <c r="R336" s="282"/>
    </row>
    <row r="337" spans="1:18" s="90" customFormat="1" x14ac:dyDescent="0.2">
      <c r="A337" s="282"/>
      <c r="B337" s="243"/>
      <c r="C337" s="64"/>
      <c r="D337" s="117" t="s">
        <v>211</v>
      </c>
      <c r="E337" s="250"/>
      <c r="F337" s="451">
        <f>+E328+F331*E331</f>
        <v>23523.701500000003</v>
      </c>
      <c r="G337" s="454"/>
      <c r="H337" s="255">
        <f>+(F337/30)*((F335*30)/20)</f>
        <v>5292.832837500001</v>
      </c>
      <c r="I337" s="257">
        <v>0</v>
      </c>
      <c r="J337" s="94">
        <f>+(H335+H336+H337)*C328</f>
        <v>119970.87765000001</v>
      </c>
      <c r="K337" s="244"/>
      <c r="L337" s="243"/>
      <c r="M337" s="84"/>
      <c r="N337" s="93"/>
      <c r="O337" s="94">
        <f>H337</f>
        <v>5292.832837500001</v>
      </c>
      <c r="P337" s="89"/>
      <c r="Q337" s="244"/>
      <c r="R337" s="282"/>
    </row>
    <row r="338" spans="1:18" s="90" customFormat="1" x14ac:dyDescent="0.2">
      <c r="A338" s="282"/>
      <c r="B338" s="243"/>
      <c r="C338" s="64"/>
      <c r="D338" s="95"/>
      <c r="E338" s="7"/>
      <c r="F338" s="456"/>
      <c r="G338" s="457"/>
      <c r="H338" s="458"/>
      <c r="I338" s="259"/>
      <c r="J338" s="80"/>
      <c r="K338" s="244"/>
      <c r="L338" s="243"/>
      <c r="M338" s="88"/>
      <c r="N338" s="80"/>
      <c r="O338" s="80"/>
      <c r="P338" s="89"/>
      <c r="Q338" s="244"/>
      <c r="R338" s="282"/>
    </row>
    <row r="339" spans="1:18" s="90" customFormat="1" ht="15" customHeight="1" x14ac:dyDescent="0.2">
      <c r="A339" s="282"/>
      <c r="B339" s="203"/>
      <c r="C339" s="13">
        <v>1</v>
      </c>
      <c r="D339" s="266" t="s">
        <v>191</v>
      </c>
      <c r="E339" s="18">
        <v>15044.45</v>
      </c>
      <c r="F339" s="456"/>
      <c r="G339" s="472"/>
      <c r="H339" s="461"/>
      <c r="I339" s="260"/>
      <c r="J339" s="151"/>
      <c r="K339" s="204"/>
      <c r="L339" s="203"/>
      <c r="M339" s="88"/>
      <c r="N339" s="80"/>
      <c r="O339" s="80"/>
      <c r="P339" s="89"/>
      <c r="Q339" s="204"/>
      <c r="R339" s="282"/>
    </row>
    <row r="340" spans="1:18" s="90" customFormat="1" x14ac:dyDescent="0.2">
      <c r="A340" s="282"/>
      <c r="B340" s="205"/>
      <c r="C340" s="64"/>
      <c r="D340" s="76" t="s">
        <v>93</v>
      </c>
      <c r="E340" s="341" t="s">
        <v>174</v>
      </c>
      <c r="F340" s="451">
        <f>E339</f>
        <v>15044.45</v>
      </c>
      <c r="G340" s="463">
        <v>1</v>
      </c>
      <c r="H340" s="255">
        <f>+G340*F340</f>
        <v>15044.45</v>
      </c>
      <c r="I340" s="259"/>
      <c r="J340" s="80"/>
      <c r="K340" s="206"/>
      <c r="L340" s="205"/>
      <c r="M340" s="84">
        <f>H340</f>
        <v>15044.45</v>
      </c>
      <c r="N340" s="92"/>
      <c r="O340" s="84"/>
      <c r="P340" s="31"/>
      <c r="Q340" s="206"/>
      <c r="R340" s="282"/>
    </row>
    <row r="341" spans="1:18" s="90" customFormat="1" x14ac:dyDescent="0.2">
      <c r="A341" s="282"/>
      <c r="B341" s="205"/>
      <c r="C341" s="64"/>
      <c r="D341" s="76" t="s">
        <v>86</v>
      </c>
      <c r="E341" s="342" t="s">
        <v>174</v>
      </c>
      <c r="F341" s="451">
        <f>E339</f>
        <v>15044.45</v>
      </c>
      <c r="G341" s="463">
        <v>3</v>
      </c>
      <c r="H341" s="255">
        <f>+G341*F341</f>
        <v>45133.350000000006</v>
      </c>
      <c r="I341" s="259"/>
      <c r="J341" s="80"/>
      <c r="K341" s="206"/>
      <c r="L341" s="205"/>
      <c r="M341" s="84"/>
      <c r="N341" s="92">
        <f>H341</f>
        <v>45133.350000000006</v>
      </c>
      <c r="O341" s="84"/>
      <c r="P341" s="31"/>
      <c r="Q341" s="206"/>
      <c r="R341" s="282"/>
    </row>
    <row r="342" spans="1:18" s="90" customFormat="1" x14ac:dyDescent="0.2">
      <c r="A342" s="282"/>
      <c r="B342" s="205"/>
      <c r="C342" s="64"/>
      <c r="D342" s="76" t="s">
        <v>168</v>
      </c>
      <c r="E342" s="343">
        <v>69</v>
      </c>
      <c r="F342" s="451">
        <f>E339/150*1.5</f>
        <v>150.44450000000001</v>
      </c>
      <c r="G342" s="463">
        <f>+F346</f>
        <v>4</v>
      </c>
      <c r="H342" s="255">
        <f>+G342*F342*E342</f>
        <v>41522.682000000001</v>
      </c>
      <c r="I342" s="259"/>
      <c r="J342" s="80"/>
      <c r="K342" s="206"/>
      <c r="L342" s="205"/>
      <c r="M342" s="84"/>
      <c r="N342" s="92">
        <f>H342</f>
        <v>41522.682000000001</v>
      </c>
      <c r="O342" s="84"/>
      <c r="P342" s="31"/>
      <c r="Q342" s="206"/>
      <c r="R342" s="282"/>
    </row>
    <row r="343" spans="1:18" s="90" customFormat="1" x14ac:dyDescent="0.2">
      <c r="A343" s="282"/>
      <c r="B343" s="205"/>
      <c r="C343" s="64"/>
      <c r="D343" s="76" t="s">
        <v>15</v>
      </c>
      <c r="E343" s="344" t="s">
        <v>130</v>
      </c>
      <c r="F343" s="451">
        <v>0</v>
      </c>
      <c r="G343" s="255">
        <f>$H$3</f>
        <v>0</v>
      </c>
      <c r="H343" s="255">
        <f>+G343*F343</f>
        <v>0</v>
      </c>
      <c r="I343" s="259"/>
      <c r="J343" s="80"/>
      <c r="K343" s="206"/>
      <c r="L343" s="205"/>
      <c r="M343" s="84"/>
      <c r="N343" s="92">
        <f>H343</f>
        <v>0</v>
      </c>
      <c r="O343" s="84"/>
      <c r="P343" s="31"/>
      <c r="Q343" s="206"/>
      <c r="R343" s="282"/>
    </row>
    <row r="344" spans="1:18" s="90" customFormat="1" x14ac:dyDescent="0.2">
      <c r="A344" s="282"/>
      <c r="B344" s="205"/>
      <c r="C344" s="64"/>
      <c r="D344" s="76" t="s">
        <v>17</v>
      </c>
      <c r="E344" s="344" t="s">
        <v>130</v>
      </c>
      <c r="F344" s="451">
        <v>0</v>
      </c>
      <c r="G344" s="255">
        <f>$H$4</f>
        <v>0</v>
      </c>
      <c r="H344" s="255">
        <f>+G344*F344</f>
        <v>0</v>
      </c>
      <c r="I344" s="259"/>
      <c r="J344" s="80"/>
      <c r="K344" s="206"/>
      <c r="L344" s="205"/>
      <c r="M344" s="84"/>
      <c r="N344" s="92">
        <f>H344</f>
        <v>0</v>
      </c>
      <c r="O344" s="84"/>
      <c r="P344" s="31"/>
      <c r="Q344" s="206"/>
      <c r="R344" s="282"/>
    </row>
    <row r="345" spans="1:18" s="90" customFormat="1" x14ac:dyDescent="0.2">
      <c r="A345" s="282"/>
      <c r="B345" s="205"/>
      <c r="C345" s="64"/>
      <c r="D345" s="76" t="s">
        <v>14</v>
      </c>
      <c r="E345" s="342" t="s">
        <v>175</v>
      </c>
      <c r="F345" s="451">
        <f>E339</f>
        <v>15044.45</v>
      </c>
      <c r="G345" s="255">
        <v>0</v>
      </c>
      <c r="H345" s="255">
        <f>+G345*F345</f>
        <v>0</v>
      </c>
      <c r="I345" s="259"/>
      <c r="J345" s="80"/>
      <c r="K345" s="206"/>
      <c r="L345" s="205"/>
      <c r="M345" s="84"/>
      <c r="N345" s="92"/>
      <c r="O345" s="84">
        <f>SUM(H345)</f>
        <v>0</v>
      </c>
      <c r="P345" s="31"/>
      <c r="Q345" s="206"/>
      <c r="R345" s="282"/>
    </row>
    <row r="346" spans="1:18" s="90" customFormat="1" x14ac:dyDescent="0.2">
      <c r="A346" s="282"/>
      <c r="B346" s="243"/>
      <c r="C346" s="64"/>
      <c r="D346" s="76" t="s">
        <v>167</v>
      </c>
      <c r="E346" s="344" t="s">
        <v>127</v>
      </c>
      <c r="F346" s="456">
        <f>+G340+G341+G345</f>
        <v>4</v>
      </c>
      <c r="G346" s="254" t="s">
        <v>153</v>
      </c>
      <c r="H346" s="255">
        <f>SUM(H340:H345)</f>
        <v>101700.482</v>
      </c>
      <c r="I346" s="251"/>
      <c r="J346" s="80"/>
      <c r="K346" s="244"/>
      <c r="L346" s="243"/>
      <c r="M346" s="245"/>
      <c r="N346" s="246"/>
      <c r="O346" s="92"/>
      <c r="P346" s="31"/>
      <c r="Q346" s="244"/>
      <c r="R346" s="282"/>
    </row>
    <row r="347" spans="1:18" s="90" customFormat="1" x14ac:dyDescent="0.2">
      <c r="A347" s="282"/>
      <c r="B347" s="239"/>
      <c r="C347" s="64"/>
      <c r="D347" s="117" t="s">
        <v>152</v>
      </c>
      <c r="E347" s="344" t="s">
        <v>127</v>
      </c>
      <c r="F347" s="451">
        <f>+E339+F342*E342</f>
        <v>25425.120500000001</v>
      </c>
      <c r="G347" s="466"/>
      <c r="H347" s="255">
        <f>+((F347/2)*F346)/6</f>
        <v>8475.0401666666676</v>
      </c>
      <c r="I347" s="256"/>
      <c r="J347" s="242"/>
      <c r="K347" s="240"/>
      <c r="L347" s="239"/>
      <c r="M347" s="84"/>
      <c r="N347" s="93"/>
      <c r="O347" s="94">
        <f>H347</f>
        <v>8475.0401666666676</v>
      </c>
      <c r="P347" s="89"/>
      <c r="Q347" s="240"/>
      <c r="R347" s="282"/>
    </row>
    <row r="348" spans="1:18" s="90" customFormat="1" x14ac:dyDescent="0.2">
      <c r="A348" s="282"/>
      <c r="B348" s="239"/>
      <c r="C348" s="64"/>
      <c r="D348" s="117" t="s">
        <v>211</v>
      </c>
      <c r="E348" s="250"/>
      <c r="F348" s="451">
        <f>+E339+F342*E342</f>
        <v>25425.120500000001</v>
      </c>
      <c r="G348" s="454"/>
      <c r="H348" s="255">
        <f>+(F348/30)*((F346*30)/20)</f>
        <v>5085.0240999999996</v>
      </c>
      <c r="I348" s="257">
        <v>0</v>
      </c>
      <c r="J348" s="94">
        <f>+(H346+H347+H348)*C339</f>
        <v>115260.54626666667</v>
      </c>
      <c r="K348" s="240"/>
      <c r="L348" s="239"/>
      <c r="M348" s="84"/>
      <c r="N348" s="93"/>
      <c r="O348" s="94">
        <f>H348</f>
        <v>5085.0240999999996</v>
      </c>
      <c r="P348" s="89"/>
      <c r="Q348" s="240"/>
      <c r="R348" s="282"/>
    </row>
    <row r="349" spans="1:18" s="90" customFormat="1" x14ac:dyDescent="0.2">
      <c r="A349" s="282"/>
      <c r="B349" s="205"/>
      <c r="C349" s="64"/>
      <c r="D349" s="95"/>
      <c r="E349" s="7"/>
      <c r="F349" s="456"/>
      <c r="G349" s="457"/>
      <c r="H349" s="458"/>
      <c r="I349" s="259"/>
      <c r="J349" s="80"/>
      <c r="K349" s="206"/>
      <c r="L349" s="205"/>
      <c r="M349" s="88"/>
      <c r="N349" s="80"/>
      <c r="O349" s="80"/>
      <c r="P349" s="89"/>
      <c r="Q349" s="206"/>
      <c r="R349" s="282"/>
    </row>
    <row r="350" spans="1:18" s="90" customFormat="1" ht="15" customHeight="1" x14ac:dyDescent="0.2">
      <c r="A350" s="282"/>
      <c r="B350" s="203"/>
      <c r="C350" s="13">
        <v>1</v>
      </c>
      <c r="D350" s="266" t="s">
        <v>192</v>
      </c>
      <c r="E350" s="18">
        <v>13919.35</v>
      </c>
      <c r="F350" s="456"/>
      <c r="G350" s="472"/>
      <c r="H350" s="461"/>
      <c r="I350" s="260"/>
      <c r="J350" s="151"/>
      <c r="K350" s="204"/>
      <c r="L350" s="203"/>
      <c r="M350" s="88"/>
      <c r="N350" s="80"/>
      <c r="O350" s="80"/>
      <c r="P350" s="89"/>
      <c r="Q350" s="204"/>
      <c r="R350" s="282"/>
    </row>
    <row r="351" spans="1:18" s="90" customFormat="1" x14ac:dyDescent="0.2">
      <c r="A351" s="282"/>
      <c r="B351" s="205"/>
      <c r="C351" s="64"/>
      <c r="D351" s="76" t="s">
        <v>93</v>
      </c>
      <c r="E351" s="341" t="s">
        <v>174</v>
      </c>
      <c r="F351" s="451">
        <f>E350</f>
        <v>13919.35</v>
      </c>
      <c r="G351" s="463">
        <v>0.25</v>
      </c>
      <c r="H351" s="255">
        <f t="shared" ref="H351:H356" si="10">+G351*F351</f>
        <v>3479.8375000000001</v>
      </c>
      <c r="I351" s="259"/>
      <c r="J351" s="80"/>
      <c r="K351" s="206"/>
      <c r="L351" s="205"/>
      <c r="M351" s="84">
        <f>H351</f>
        <v>3479.8375000000001</v>
      </c>
      <c r="N351" s="92"/>
      <c r="O351" s="84"/>
      <c r="P351" s="31"/>
      <c r="Q351" s="206"/>
      <c r="R351" s="282"/>
    </row>
    <row r="352" spans="1:18" s="90" customFormat="1" x14ac:dyDescent="0.2">
      <c r="A352" s="282"/>
      <c r="B352" s="205"/>
      <c r="C352" s="64"/>
      <c r="D352" s="76" t="s">
        <v>86</v>
      </c>
      <c r="E352" s="342" t="s">
        <v>174</v>
      </c>
      <c r="F352" s="451">
        <f>E350</f>
        <v>13919.35</v>
      </c>
      <c r="G352" s="463">
        <v>3</v>
      </c>
      <c r="H352" s="255">
        <f t="shared" si="10"/>
        <v>41758.050000000003</v>
      </c>
      <c r="I352" s="259"/>
      <c r="J352" s="80"/>
      <c r="K352" s="206"/>
      <c r="L352" s="205"/>
      <c r="M352" s="84"/>
      <c r="N352" s="92">
        <f>H352</f>
        <v>41758.050000000003</v>
      </c>
      <c r="O352" s="84"/>
      <c r="P352" s="31"/>
      <c r="Q352" s="206"/>
      <c r="R352" s="282"/>
    </row>
    <row r="353" spans="1:18" s="90" customFormat="1" x14ac:dyDescent="0.2">
      <c r="A353" s="282"/>
      <c r="B353" s="205"/>
      <c r="C353" s="64"/>
      <c r="D353" s="76" t="s">
        <v>168</v>
      </c>
      <c r="E353" s="343">
        <v>69</v>
      </c>
      <c r="F353" s="451">
        <f>E350/150*1.5</f>
        <v>139.1935</v>
      </c>
      <c r="G353" s="463">
        <f>+F357</f>
        <v>3.25</v>
      </c>
      <c r="H353" s="255">
        <f>+G353*F353*E353</f>
        <v>31214.142374999999</v>
      </c>
      <c r="I353" s="259"/>
      <c r="J353" s="80"/>
      <c r="K353" s="206"/>
      <c r="L353" s="205"/>
      <c r="M353" s="84"/>
      <c r="N353" s="92">
        <f>H353</f>
        <v>31214.142374999999</v>
      </c>
      <c r="O353" s="84"/>
      <c r="P353" s="31"/>
      <c r="Q353" s="206"/>
      <c r="R353" s="282"/>
    </row>
    <row r="354" spans="1:18" s="90" customFormat="1" x14ac:dyDescent="0.2">
      <c r="A354" s="282"/>
      <c r="B354" s="205"/>
      <c r="C354" s="64"/>
      <c r="D354" s="76" t="s">
        <v>15</v>
      </c>
      <c r="E354" s="344" t="s">
        <v>130</v>
      </c>
      <c r="F354" s="451">
        <v>0</v>
      </c>
      <c r="G354" s="255">
        <f>$H$3</f>
        <v>0</v>
      </c>
      <c r="H354" s="255">
        <f t="shared" si="10"/>
        <v>0</v>
      </c>
      <c r="I354" s="259"/>
      <c r="J354" s="80"/>
      <c r="K354" s="206"/>
      <c r="L354" s="205"/>
      <c r="M354" s="84"/>
      <c r="N354" s="92">
        <f>H354</f>
        <v>0</v>
      </c>
      <c r="O354" s="84"/>
      <c r="P354" s="31"/>
      <c r="Q354" s="206"/>
      <c r="R354" s="282"/>
    </row>
    <row r="355" spans="1:18" s="90" customFormat="1" x14ac:dyDescent="0.2">
      <c r="A355" s="282"/>
      <c r="B355" s="205"/>
      <c r="C355" s="64"/>
      <c r="D355" s="76" t="s">
        <v>17</v>
      </c>
      <c r="E355" s="344" t="s">
        <v>130</v>
      </c>
      <c r="F355" s="451">
        <v>0</v>
      </c>
      <c r="G355" s="255">
        <f>$H$4</f>
        <v>0</v>
      </c>
      <c r="H355" s="255">
        <f t="shared" si="10"/>
        <v>0</v>
      </c>
      <c r="I355" s="259"/>
      <c r="J355" s="80"/>
      <c r="K355" s="206"/>
      <c r="L355" s="205"/>
      <c r="M355" s="84"/>
      <c r="N355" s="92">
        <f>H355</f>
        <v>0</v>
      </c>
      <c r="O355" s="84"/>
      <c r="P355" s="31"/>
      <c r="Q355" s="206"/>
      <c r="R355" s="282"/>
    </row>
    <row r="356" spans="1:18" s="90" customFormat="1" x14ac:dyDescent="0.2">
      <c r="A356" s="282"/>
      <c r="B356" s="205"/>
      <c r="C356" s="64"/>
      <c r="D356" s="76" t="s">
        <v>14</v>
      </c>
      <c r="E356" s="342" t="s">
        <v>175</v>
      </c>
      <c r="F356" s="451">
        <f>E350</f>
        <v>13919.35</v>
      </c>
      <c r="G356" s="255">
        <v>0</v>
      </c>
      <c r="H356" s="255">
        <f t="shared" si="10"/>
        <v>0</v>
      </c>
      <c r="I356" s="259"/>
      <c r="J356" s="80"/>
      <c r="K356" s="206"/>
      <c r="L356" s="205"/>
      <c r="M356" s="84"/>
      <c r="N356" s="92"/>
      <c r="O356" s="84">
        <f>SUM(H356)</f>
        <v>0</v>
      </c>
      <c r="P356" s="31"/>
      <c r="Q356" s="206"/>
      <c r="R356" s="282"/>
    </row>
    <row r="357" spans="1:18" s="90" customFormat="1" x14ac:dyDescent="0.2">
      <c r="A357" s="282"/>
      <c r="B357" s="243"/>
      <c r="C357" s="64"/>
      <c r="D357" s="76" t="s">
        <v>167</v>
      </c>
      <c r="E357" s="344" t="s">
        <v>127</v>
      </c>
      <c r="F357" s="456">
        <f>+G351+G352+G356</f>
        <v>3.25</v>
      </c>
      <c r="G357" s="254" t="s">
        <v>153</v>
      </c>
      <c r="H357" s="255">
        <f>SUM(H351:H356)</f>
        <v>76452.029875000007</v>
      </c>
      <c r="I357" s="251"/>
      <c r="J357" s="80"/>
      <c r="K357" s="244"/>
      <c r="L357" s="243"/>
      <c r="M357" s="245"/>
      <c r="N357" s="246"/>
      <c r="O357" s="92"/>
      <c r="P357" s="31"/>
      <c r="Q357" s="244"/>
      <c r="R357" s="282"/>
    </row>
    <row r="358" spans="1:18" s="90" customFormat="1" x14ac:dyDescent="0.2">
      <c r="A358" s="282"/>
      <c r="B358" s="239"/>
      <c r="C358" s="64"/>
      <c r="D358" s="117" t="s">
        <v>152</v>
      </c>
      <c r="E358" s="344" t="s">
        <v>127</v>
      </c>
      <c r="F358" s="451">
        <f>+E350+F353*E353</f>
        <v>23523.701500000003</v>
      </c>
      <c r="G358" s="466"/>
      <c r="H358" s="255">
        <f>+((F358/2)*F357)/6</f>
        <v>6371.002489583334</v>
      </c>
      <c r="I358" s="256"/>
      <c r="J358" s="242"/>
      <c r="K358" s="240"/>
      <c r="L358" s="239"/>
      <c r="M358" s="84"/>
      <c r="N358" s="93"/>
      <c r="O358" s="94">
        <f>H358</f>
        <v>6371.002489583334</v>
      </c>
      <c r="P358" s="89"/>
      <c r="Q358" s="240"/>
      <c r="R358" s="282"/>
    </row>
    <row r="359" spans="1:18" s="90" customFormat="1" x14ac:dyDescent="0.2">
      <c r="A359" s="282"/>
      <c r="B359" s="239"/>
      <c r="C359" s="64"/>
      <c r="D359" s="117" t="s">
        <v>211</v>
      </c>
      <c r="E359" s="250"/>
      <c r="F359" s="451">
        <f>+E350+F353*E353</f>
        <v>23523.701500000003</v>
      </c>
      <c r="G359" s="454"/>
      <c r="H359" s="255">
        <f>+(F359/30)*((F357*30)/20)</f>
        <v>3822.6014937500004</v>
      </c>
      <c r="I359" s="257">
        <v>0</v>
      </c>
      <c r="J359" s="94">
        <f>+(H357+H358+H359)*C350</f>
        <v>86645.633858333342</v>
      </c>
      <c r="K359" s="240"/>
      <c r="L359" s="239"/>
      <c r="M359" s="84"/>
      <c r="N359" s="93"/>
      <c r="O359" s="94">
        <f>H359</f>
        <v>3822.6014937500004</v>
      </c>
      <c r="P359" s="89"/>
      <c r="Q359" s="240"/>
      <c r="R359" s="282"/>
    </row>
    <row r="360" spans="1:18" s="90" customFormat="1" x14ac:dyDescent="0.2">
      <c r="A360" s="282"/>
      <c r="B360" s="205"/>
      <c r="C360" s="64"/>
      <c r="D360" s="95"/>
      <c r="E360" s="7"/>
      <c r="F360" s="456"/>
      <c r="G360" s="457"/>
      <c r="H360" s="458"/>
      <c r="I360" s="259"/>
      <c r="J360" s="80"/>
      <c r="K360" s="206"/>
      <c r="L360" s="205"/>
      <c r="M360" s="88"/>
      <c r="N360" s="80"/>
      <c r="O360" s="80"/>
      <c r="P360" s="89"/>
      <c r="Q360" s="206"/>
      <c r="R360" s="282"/>
    </row>
    <row r="361" spans="1:18" s="90" customFormat="1" ht="15" customHeight="1" x14ac:dyDescent="0.2">
      <c r="A361" s="282"/>
      <c r="B361" s="203"/>
      <c r="C361" s="13">
        <v>1</v>
      </c>
      <c r="D361" s="266" t="s">
        <v>193</v>
      </c>
      <c r="E361" s="18">
        <v>19149.900000000001</v>
      </c>
      <c r="F361" s="456"/>
      <c r="G361" s="472"/>
      <c r="H361" s="461"/>
      <c r="I361" s="260"/>
      <c r="J361" s="151"/>
      <c r="K361" s="204"/>
      <c r="L361" s="203"/>
      <c r="M361" s="88"/>
      <c r="N361" s="80"/>
      <c r="O361" s="80"/>
      <c r="P361" s="89"/>
      <c r="Q361" s="204"/>
      <c r="R361" s="282"/>
    </row>
    <row r="362" spans="1:18" s="90" customFormat="1" x14ac:dyDescent="0.2">
      <c r="A362" s="282"/>
      <c r="B362" s="205"/>
      <c r="C362" s="64"/>
      <c r="D362" s="76" t="s">
        <v>93</v>
      </c>
      <c r="E362" s="341" t="s">
        <v>174</v>
      </c>
      <c r="F362" s="250">
        <f>E361</f>
        <v>19149.900000000001</v>
      </c>
      <c r="G362" s="63">
        <v>1</v>
      </c>
      <c r="H362" s="28">
        <f t="shared" ref="H362:H367" si="11">+G362*F362</f>
        <v>19149.900000000001</v>
      </c>
      <c r="I362" s="259"/>
      <c r="J362" s="80"/>
      <c r="K362" s="206"/>
      <c r="L362" s="205"/>
      <c r="M362" s="84">
        <f>H362</f>
        <v>19149.900000000001</v>
      </c>
      <c r="N362" s="92"/>
      <c r="O362" s="84"/>
      <c r="P362" s="31"/>
      <c r="Q362" s="206"/>
      <c r="R362" s="282"/>
    </row>
    <row r="363" spans="1:18" s="90" customFormat="1" x14ac:dyDescent="0.2">
      <c r="A363" s="282"/>
      <c r="B363" s="205"/>
      <c r="C363" s="64"/>
      <c r="D363" s="76" t="s">
        <v>86</v>
      </c>
      <c r="E363" s="342" t="s">
        <v>174</v>
      </c>
      <c r="F363" s="250">
        <f>E361</f>
        <v>19149.900000000001</v>
      </c>
      <c r="G363" s="63">
        <v>3</v>
      </c>
      <c r="H363" s="28">
        <f t="shared" si="11"/>
        <v>57449.700000000004</v>
      </c>
      <c r="I363" s="259"/>
      <c r="J363" s="80"/>
      <c r="K363" s="206"/>
      <c r="L363" s="205"/>
      <c r="M363" s="84"/>
      <c r="N363" s="92">
        <f>H363</f>
        <v>57449.700000000004</v>
      </c>
      <c r="O363" s="84"/>
      <c r="P363" s="31"/>
      <c r="Q363" s="206"/>
      <c r="R363" s="282"/>
    </row>
    <row r="364" spans="1:18" s="90" customFormat="1" x14ac:dyDescent="0.2">
      <c r="A364" s="282"/>
      <c r="B364" s="205"/>
      <c r="C364" s="64"/>
      <c r="D364" s="76" t="s">
        <v>168</v>
      </c>
      <c r="E364" s="343">
        <v>69</v>
      </c>
      <c r="F364" s="250">
        <f>E361/150*1.5</f>
        <v>191.49900000000002</v>
      </c>
      <c r="G364" s="63">
        <f>+F368</f>
        <v>4.5</v>
      </c>
      <c r="H364" s="28">
        <f>+G364*F364*E364</f>
        <v>59460.439500000008</v>
      </c>
      <c r="I364" s="259"/>
      <c r="J364" s="80"/>
      <c r="K364" s="206"/>
      <c r="L364" s="205"/>
      <c r="M364" s="84"/>
      <c r="N364" s="92">
        <f>H364</f>
        <v>59460.439500000008</v>
      </c>
      <c r="O364" s="84"/>
      <c r="P364" s="31"/>
      <c r="Q364" s="206"/>
      <c r="R364" s="282"/>
    </row>
    <row r="365" spans="1:18" s="90" customFormat="1" x14ac:dyDescent="0.2">
      <c r="A365" s="282"/>
      <c r="B365" s="205"/>
      <c r="C365" s="64"/>
      <c r="D365" s="76" t="s">
        <v>15</v>
      </c>
      <c r="E365" s="344" t="s">
        <v>130</v>
      </c>
      <c r="F365" s="250">
        <v>0</v>
      </c>
      <c r="G365" s="28">
        <f>$H$3</f>
        <v>0</v>
      </c>
      <c r="H365" s="28">
        <f t="shared" si="11"/>
        <v>0</v>
      </c>
      <c r="I365" s="259"/>
      <c r="J365" s="80"/>
      <c r="K365" s="206"/>
      <c r="L365" s="205"/>
      <c r="M365" s="84"/>
      <c r="N365" s="92">
        <f>H365</f>
        <v>0</v>
      </c>
      <c r="O365" s="84"/>
      <c r="P365" s="31"/>
      <c r="Q365" s="206"/>
      <c r="R365" s="282"/>
    </row>
    <row r="366" spans="1:18" s="90" customFormat="1" x14ac:dyDescent="0.2">
      <c r="A366" s="282"/>
      <c r="B366" s="205"/>
      <c r="C366" s="64"/>
      <c r="D366" s="76" t="s">
        <v>17</v>
      </c>
      <c r="E366" s="344" t="s">
        <v>130</v>
      </c>
      <c r="F366" s="451">
        <v>0</v>
      </c>
      <c r="G366" s="255">
        <f>$H$4</f>
        <v>0</v>
      </c>
      <c r="H366" s="255">
        <f t="shared" si="11"/>
        <v>0</v>
      </c>
      <c r="I366" s="259"/>
      <c r="J366" s="80"/>
      <c r="K366" s="206"/>
      <c r="L366" s="205"/>
      <c r="M366" s="84"/>
      <c r="N366" s="92">
        <f>H366</f>
        <v>0</v>
      </c>
      <c r="O366" s="84"/>
      <c r="P366" s="31"/>
      <c r="Q366" s="206"/>
      <c r="R366" s="282"/>
    </row>
    <row r="367" spans="1:18" s="90" customFormat="1" x14ac:dyDescent="0.2">
      <c r="A367" s="282"/>
      <c r="B367" s="205"/>
      <c r="C367" s="64"/>
      <c r="D367" s="76" t="s">
        <v>14</v>
      </c>
      <c r="E367" s="342" t="s">
        <v>175</v>
      </c>
      <c r="F367" s="451">
        <f>E361</f>
        <v>19149.900000000001</v>
      </c>
      <c r="G367" s="451">
        <v>0.5</v>
      </c>
      <c r="H367" s="255">
        <f t="shared" si="11"/>
        <v>9574.9500000000007</v>
      </c>
      <c r="I367" s="259"/>
      <c r="J367" s="80"/>
      <c r="K367" s="206"/>
      <c r="L367" s="205"/>
      <c r="M367" s="84"/>
      <c r="N367" s="92"/>
      <c r="O367" s="84">
        <f>SUM(H367)</f>
        <v>9574.9500000000007</v>
      </c>
      <c r="P367" s="31"/>
      <c r="Q367" s="206"/>
      <c r="R367" s="282"/>
    </row>
    <row r="368" spans="1:18" s="90" customFormat="1" x14ac:dyDescent="0.2">
      <c r="A368" s="282"/>
      <c r="B368" s="243"/>
      <c r="C368" s="64"/>
      <c r="D368" s="76" t="s">
        <v>167</v>
      </c>
      <c r="E368" s="344" t="s">
        <v>127</v>
      </c>
      <c r="F368" s="456">
        <f>+G362+G363+G367</f>
        <v>4.5</v>
      </c>
      <c r="G368" s="254" t="s">
        <v>153</v>
      </c>
      <c r="H368" s="255">
        <f>SUM(H362:H367)</f>
        <v>145634.98950000003</v>
      </c>
      <c r="I368" s="251"/>
      <c r="J368" s="80"/>
      <c r="K368" s="244"/>
      <c r="L368" s="243"/>
      <c r="M368" s="245"/>
      <c r="N368" s="246"/>
      <c r="O368" s="92"/>
      <c r="P368" s="31"/>
      <c r="Q368" s="244"/>
      <c r="R368" s="282"/>
    </row>
    <row r="369" spans="1:18" s="90" customFormat="1" x14ac:dyDescent="0.2">
      <c r="A369" s="282"/>
      <c r="B369" s="239"/>
      <c r="C369" s="64"/>
      <c r="D369" s="117" t="s">
        <v>152</v>
      </c>
      <c r="E369" s="344" t="s">
        <v>127</v>
      </c>
      <c r="F369" s="451">
        <f>+E361+F364*E364</f>
        <v>32363.331000000006</v>
      </c>
      <c r="G369" s="466"/>
      <c r="H369" s="255">
        <f>+((F369/2)*F368)/6</f>
        <v>12136.249125000002</v>
      </c>
      <c r="I369" s="256"/>
      <c r="J369" s="242"/>
      <c r="K369" s="240"/>
      <c r="L369" s="239"/>
      <c r="M369" s="84"/>
      <c r="N369" s="93"/>
      <c r="O369" s="94">
        <f>H369</f>
        <v>12136.249125000002</v>
      </c>
      <c r="P369" s="89"/>
      <c r="Q369" s="240"/>
      <c r="R369" s="282"/>
    </row>
    <row r="370" spans="1:18" s="90" customFormat="1" x14ac:dyDescent="0.2">
      <c r="A370" s="282"/>
      <c r="B370" s="239"/>
      <c r="C370" s="64"/>
      <c r="D370" s="117" t="s">
        <v>211</v>
      </c>
      <c r="E370" s="250"/>
      <c r="F370" s="451">
        <f>+E361+F364*E364</f>
        <v>32363.331000000006</v>
      </c>
      <c r="G370" s="454"/>
      <c r="H370" s="255">
        <f>+(F370/30)*((F368*30)/20)</f>
        <v>7281.7494750000005</v>
      </c>
      <c r="I370" s="257">
        <v>0</v>
      </c>
      <c r="J370" s="94">
        <f>+(H368+H369+H370)*C361</f>
        <v>165052.98810000002</v>
      </c>
      <c r="K370" s="240"/>
      <c r="L370" s="239"/>
      <c r="M370" s="84"/>
      <c r="N370" s="93"/>
      <c r="O370" s="94">
        <f>H370</f>
        <v>7281.7494750000005</v>
      </c>
      <c r="P370" s="89"/>
      <c r="Q370" s="240"/>
      <c r="R370" s="282"/>
    </row>
    <row r="371" spans="1:18" s="90" customFormat="1" x14ac:dyDescent="0.2">
      <c r="A371" s="282"/>
      <c r="B371" s="205"/>
      <c r="C371" s="64"/>
      <c r="D371" s="95"/>
      <c r="E371" s="7"/>
      <c r="F371" s="456"/>
      <c r="G371" s="457"/>
      <c r="H371" s="458"/>
      <c r="I371" s="259"/>
      <c r="J371" s="80"/>
      <c r="K371" s="206"/>
      <c r="L371" s="205"/>
      <c r="M371" s="88"/>
      <c r="N371" s="80"/>
      <c r="O371" s="80"/>
      <c r="P371" s="89"/>
      <c r="Q371" s="206"/>
      <c r="R371" s="282"/>
    </row>
    <row r="372" spans="1:18" s="90" customFormat="1" ht="15" customHeight="1" x14ac:dyDescent="0.2">
      <c r="A372" s="282"/>
      <c r="B372" s="203"/>
      <c r="C372" s="13">
        <v>1</v>
      </c>
      <c r="D372" s="266" t="s">
        <v>194</v>
      </c>
      <c r="E372" s="18">
        <v>16308.65</v>
      </c>
      <c r="F372" s="456"/>
      <c r="G372" s="472"/>
      <c r="H372" s="461"/>
      <c r="I372" s="260"/>
      <c r="J372" s="151"/>
      <c r="K372" s="204"/>
      <c r="L372" s="203"/>
      <c r="M372" s="88"/>
      <c r="N372" s="80"/>
      <c r="O372" s="80"/>
      <c r="P372" s="89"/>
      <c r="Q372" s="204"/>
      <c r="R372" s="282"/>
    </row>
    <row r="373" spans="1:18" s="90" customFormat="1" x14ac:dyDescent="0.2">
      <c r="A373" s="282"/>
      <c r="B373" s="243"/>
      <c r="C373" s="64"/>
      <c r="D373" s="76" t="s">
        <v>93</v>
      </c>
      <c r="E373" s="341" t="s">
        <v>174</v>
      </c>
      <c r="F373" s="451">
        <f>E372</f>
        <v>16308.65</v>
      </c>
      <c r="G373" s="463">
        <v>1</v>
      </c>
      <c r="H373" s="255">
        <f>+G373*F373</f>
        <v>16308.65</v>
      </c>
      <c r="I373" s="259"/>
      <c r="J373" s="80"/>
      <c r="K373" s="244"/>
      <c r="L373" s="243"/>
      <c r="M373" s="84">
        <f>H373</f>
        <v>16308.65</v>
      </c>
      <c r="N373" s="92"/>
      <c r="O373" s="84"/>
      <c r="P373" s="31"/>
      <c r="Q373" s="244"/>
      <c r="R373" s="282"/>
    </row>
    <row r="374" spans="1:18" s="90" customFormat="1" x14ac:dyDescent="0.2">
      <c r="A374" s="282"/>
      <c r="B374" s="243"/>
      <c r="C374" s="64"/>
      <c r="D374" s="76" t="s">
        <v>86</v>
      </c>
      <c r="E374" s="342" t="s">
        <v>174</v>
      </c>
      <c r="F374" s="451">
        <f>E372</f>
        <v>16308.65</v>
      </c>
      <c r="G374" s="463">
        <v>3</v>
      </c>
      <c r="H374" s="255">
        <f>+G374*F374</f>
        <v>48925.95</v>
      </c>
      <c r="I374" s="259"/>
      <c r="J374" s="80"/>
      <c r="K374" s="244"/>
      <c r="L374" s="243"/>
      <c r="M374" s="84"/>
      <c r="N374" s="92">
        <f>H374</f>
        <v>48925.95</v>
      </c>
      <c r="O374" s="84"/>
      <c r="P374" s="31"/>
      <c r="Q374" s="244"/>
      <c r="R374" s="282"/>
    </row>
    <row r="375" spans="1:18" s="90" customFormat="1" x14ac:dyDescent="0.2">
      <c r="A375" s="282"/>
      <c r="B375" s="243"/>
      <c r="C375" s="64"/>
      <c r="D375" s="76" t="s">
        <v>168</v>
      </c>
      <c r="E375" s="343">
        <v>69</v>
      </c>
      <c r="F375" s="451">
        <f>E372/150*1.5</f>
        <v>163.0865</v>
      </c>
      <c r="G375" s="463">
        <f>+F379</f>
        <v>4.5</v>
      </c>
      <c r="H375" s="255">
        <f>+G375*F375*E375</f>
        <v>50638.358249999997</v>
      </c>
      <c r="I375" s="259"/>
      <c r="J375" s="80"/>
      <c r="K375" s="244"/>
      <c r="L375" s="243"/>
      <c r="M375" s="84"/>
      <c r="N375" s="92">
        <f>H375</f>
        <v>50638.358249999997</v>
      </c>
      <c r="O375" s="84"/>
      <c r="P375" s="31"/>
      <c r="Q375" s="244"/>
      <c r="R375" s="282"/>
    </row>
    <row r="376" spans="1:18" s="90" customFormat="1" x14ac:dyDescent="0.2">
      <c r="A376" s="282"/>
      <c r="B376" s="243"/>
      <c r="C376" s="64"/>
      <c r="D376" s="76" t="s">
        <v>15</v>
      </c>
      <c r="E376" s="344" t="s">
        <v>130</v>
      </c>
      <c r="F376" s="451">
        <v>0</v>
      </c>
      <c r="G376" s="255">
        <f>$H$3</f>
        <v>0</v>
      </c>
      <c r="H376" s="255">
        <f>+G376*F376</f>
        <v>0</v>
      </c>
      <c r="I376" s="259"/>
      <c r="J376" s="80"/>
      <c r="K376" s="244"/>
      <c r="L376" s="243"/>
      <c r="M376" s="84"/>
      <c r="N376" s="92">
        <f>H376</f>
        <v>0</v>
      </c>
      <c r="O376" s="84"/>
      <c r="P376" s="31"/>
      <c r="Q376" s="244"/>
      <c r="R376" s="282"/>
    </row>
    <row r="377" spans="1:18" s="90" customFormat="1" x14ac:dyDescent="0.2">
      <c r="A377" s="282"/>
      <c r="B377" s="243"/>
      <c r="C377" s="64"/>
      <c r="D377" s="76" t="s">
        <v>17</v>
      </c>
      <c r="E377" s="344" t="s">
        <v>130</v>
      </c>
      <c r="F377" s="451">
        <v>0</v>
      </c>
      <c r="G377" s="255">
        <f>$H$4</f>
        <v>0</v>
      </c>
      <c r="H377" s="255">
        <f>+G377*F377</f>
        <v>0</v>
      </c>
      <c r="I377" s="259"/>
      <c r="J377" s="80"/>
      <c r="K377" s="244"/>
      <c r="L377" s="243"/>
      <c r="M377" s="84"/>
      <c r="N377" s="92">
        <f>H377</f>
        <v>0</v>
      </c>
      <c r="O377" s="84"/>
      <c r="P377" s="31"/>
      <c r="Q377" s="244"/>
      <c r="R377" s="282"/>
    </row>
    <row r="378" spans="1:18" s="90" customFormat="1" x14ac:dyDescent="0.2">
      <c r="A378" s="282"/>
      <c r="B378" s="243"/>
      <c r="C378" s="64"/>
      <c r="D378" s="76" t="s">
        <v>14</v>
      </c>
      <c r="E378" s="342" t="s">
        <v>175</v>
      </c>
      <c r="F378" s="451">
        <f>E372</f>
        <v>16308.65</v>
      </c>
      <c r="G378" s="463">
        <v>0.5</v>
      </c>
      <c r="H378" s="255">
        <f>+G378*F378</f>
        <v>8154.3249999999998</v>
      </c>
      <c r="I378" s="259"/>
      <c r="J378" s="80"/>
      <c r="K378" s="244"/>
      <c r="L378" s="243"/>
      <c r="M378" s="84"/>
      <c r="N378" s="92"/>
      <c r="O378" s="84">
        <f>SUM(H378)</f>
        <v>8154.3249999999998</v>
      </c>
      <c r="P378" s="31"/>
      <c r="Q378" s="244"/>
      <c r="R378" s="282"/>
    </row>
    <row r="379" spans="1:18" s="90" customFormat="1" x14ac:dyDescent="0.2">
      <c r="A379" s="282"/>
      <c r="B379" s="243"/>
      <c r="C379" s="64"/>
      <c r="D379" s="76" t="s">
        <v>167</v>
      </c>
      <c r="E379" s="344" t="s">
        <v>127</v>
      </c>
      <c r="F379" s="456">
        <f>+G373+G374+G378</f>
        <v>4.5</v>
      </c>
      <c r="G379" s="254" t="s">
        <v>153</v>
      </c>
      <c r="H379" s="255">
        <f>SUM(H373:H378)</f>
        <v>124027.28324999999</v>
      </c>
      <c r="I379" s="251"/>
      <c r="J379" s="80"/>
      <c r="K379" s="244"/>
      <c r="L379" s="243"/>
      <c r="M379" s="245"/>
      <c r="N379" s="246"/>
      <c r="O379" s="92"/>
      <c r="P379" s="31"/>
      <c r="Q379" s="244"/>
      <c r="R379" s="282"/>
    </row>
    <row r="380" spans="1:18" s="90" customFormat="1" x14ac:dyDescent="0.2">
      <c r="A380" s="282"/>
      <c r="B380" s="243"/>
      <c r="C380" s="64"/>
      <c r="D380" s="117" t="s">
        <v>152</v>
      </c>
      <c r="E380" s="344" t="s">
        <v>127</v>
      </c>
      <c r="F380" s="451">
        <f>+E372+F375*E375</f>
        <v>27561.6185</v>
      </c>
      <c r="G380" s="466"/>
      <c r="H380" s="255">
        <f>+((F380/2)*F379)/6</f>
        <v>10335.606937500001</v>
      </c>
      <c r="I380" s="256"/>
      <c r="J380" s="242"/>
      <c r="K380" s="244"/>
      <c r="L380" s="243"/>
      <c r="M380" s="84"/>
      <c r="N380" s="93"/>
      <c r="O380" s="94">
        <f>H380</f>
        <v>10335.606937500001</v>
      </c>
      <c r="P380" s="89"/>
      <c r="Q380" s="244"/>
      <c r="R380" s="282"/>
    </row>
    <row r="381" spans="1:18" s="90" customFormat="1" x14ac:dyDescent="0.2">
      <c r="A381" s="282"/>
      <c r="B381" s="243"/>
      <c r="C381" s="64"/>
      <c r="D381" s="117" t="s">
        <v>211</v>
      </c>
      <c r="E381" s="250"/>
      <c r="F381" s="451">
        <f>+E372+F375*E375</f>
        <v>27561.6185</v>
      </c>
      <c r="G381" s="454"/>
      <c r="H381" s="255">
        <f>+(F381/30)*((F379*30)/20)</f>
        <v>6201.3641625</v>
      </c>
      <c r="I381" s="257">
        <v>0</v>
      </c>
      <c r="J381" s="94">
        <f>+(H379+H380+H381)*C372</f>
        <v>140564.25434999997</v>
      </c>
      <c r="K381" s="244"/>
      <c r="L381" s="243"/>
      <c r="M381" s="84"/>
      <c r="N381" s="93"/>
      <c r="O381" s="94">
        <f>H381</f>
        <v>6201.3641625</v>
      </c>
      <c r="P381" s="89"/>
      <c r="Q381" s="244"/>
      <c r="R381" s="282"/>
    </row>
    <row r="382" spans="1:18" s="90" customFormat="1" x14ac:dyDescent="0.2">
      <c r="A382" s="282"/>
      <c r="B382" s="243"/>
      <c r="C382" s="64"/>
      <c r="D382" s="95"/>
      <c r="E382" s="261"/>
      <c r="F382" s="456"/>
      <c r="G382" s="457"/>
      <c r="H382" s="458"/>
      <c r="I382" s="259"/>
      <c r="J382" s="80"/>
      <c r="K382" s="244"/>
      <c r="L382" s="243"/>
      <c r="M382" s="88"/>
      <c r="N382" s="80"/>
      <c r="O382" s="80"/>
      <c r="P382" s="89"/>
      <c r="Q382" s="244"/>
      <c r="R382" s="282"/>
    </row>
    <row r="383" spans="1:18" s="90" customFormat="1" ht="15" customHeight="1" x14ac:dyDescent="0.2">
      <c r="A383" s="282"/>
      <c r="B383" s="203"/>
      <c r="C383" s="13">
        <v>1</v>
      </c>
      <c r="D383" s="266" t="s">
        <v>272</v>
      </c>
      <c r="E383" s="18">
        <v>13919.35</v>
      </c>
      <c r="F383" s="456"/>
      <c r="G383" s="472"/>
      <c r="H383" s="461"/>
      <c r="I383" s="260"/>
      <c r="J383" s="151"/>
      <c r="K383" s="204"/>
      <c r="L383" s="203"/>
      <c r="M383" s="88"/>
      <c r="N383" s="80"/>
      <c r="O383" s="80"/>
      <c r="P383" s="89"/>
      <c r="Q383" s="204"/>
      <c r="R383" s="282"/>
    </row>
    <row r="384" spans="1:18" s="90" customFormat="1" x14ac:dyDescent="0.2">
      <c r="A384" s="282"/>
      <c r="B384" s="205"/>
      <c r="C384" s="64"/>
      <c r="D384" s="76" t="s">
        <v>93</v>
      </c>
      <c r="E384" s="341" t="s">
        <v>174</v>
      </c>
      <c r="F384" s="451">
        <f>E383</f>
        <v>13919.35</v>
      </c>
      <c r="G384" s="463">
        <v>0.5</v>
      </c>
      <c r="H384" s="255">
        <f>+G384*F384</f>
        <v>6959.6750000000002</v>
      </c>
      <c r="I384" s="259"/>
      <c r="J384" s="80"/>
      <c r="K384" s="206"/>
      <c r="L384" s="205"/>
      <c r="M384" s="84">
        <f>H384</f>
        <v>6959.6750000000002</v>
      </c>
      <c r="N384" s="92"/>
      <c r="O384" s="84"/>
      <c r="P384" s="31"/>
      <c r="Q384" s="206"/>
      <c r="R384" s="282"/>
    </row>
    <row r="385" spans="1:18" s="90" customFormat="1" x14ac:dyDescent="0.2">
      <c r="A385" s="282"/>
      <c r="B385" s="205"/>
      <c r="C385" s="64"/>
      <c r="D385" s="76" t="s">
        <v>86</v>
      </c>
      <c r="E385" s="342" t="s">
        <v>174</v>
      </c>
      <c r="F385" s="451">
        <f>E383</f>
        <v>13919.35</v>
      </c>
      <c r="G385" s="463">
        <v>3</v>
      </c>
      <c r="H385" s="255">
        <f>+G385*F385</f>
        <v>41758.050000000003</v>
      </c>
      <c r="I385" s="259"/>
      <c r="J385" s="80"/>
      <c r="K385" s="206"/>
      <c r="L385" s="205"/>
      <c r="M385" s="84"/>
      <c r="N385" s="92">
        <f>H385</f>
        <v>41758.050000000003</v>
      </c>
      <c r="O385" s="84"/>
      <c r="P385" s="31"/>
      <c r="Q385" s="206"/>
      <c r="R385" s="282"/>
    </row>
    <row r="386" spans="1:18" s="90" customFormat="1" x14ac:dyDescent="0.2">
      <c r="A386" s="282"/>
      <c r="B386" s="205"/>
      <c r="C386" s="64"/>
      <c r="D386" s="76" t="s">
        <v>168</v>
      </c>
      <c r="E386" s="343">
        <v>69</v>
      </c>
      <c r="F386" s="451">
        <f>E383/150*1.5</f>
        <v>139.1935</v>
      </c>
      <c r="G386" s="463">
        <f>+F390</f>
        <v>4</v>
      </c>
      <c r="H386" s="255">
        <f>+G386*F386*E386</f>
        <v>38417.406000000003</v>
      </c>
      <c r="I386" s="259"/>
      <c r="J386" s="80"/>
      <c r="K386" s="206"/>
      <c r="L386" s="205"/>
      <c r="M386" s="84"/>
      <c r="N386" s="92">
        <f>H386</f>
        <v>38417.406000000003</v>
      </c>
      <c r="O386" s="84"/>
      <c r="P386" s="31"/>
      <c r="Q386" s="206"/>
      <c r="R386" s="282"/>
    </row>
    <row r="387" spans="1:18" s="90" customFormat="1" x14ac:dyDescent="0.2">
      <c r="A387" s="282"/>
      <c r="B387" s="205"/>
      <c r="C387" s="64"/>
      <c r="D387" s="76" t="s">
        <v>15</v>
      </c>
      <c r="E387" s="344" t="s">
        <v>130</v>
      </c>
      <c r="F387" s="451">
        <v>0</v>
      </c>
      <c r="G387" s="255">
        <f>$H$3</f>
        <v>0</v>
      </c>
      <c r="H387" s="255">
        <f>+G387*F387</f>
        <v>0</v>
      </c>
      <c r="I387" s="259"/>
      <c r="J387" s="80"/>
      <c r="K387" s="206"/>
      <c r="L387" s="205"/>
      <c r="M387" s="84"/>
      <c r="N387" s="92">
        <f>H387</f>
        <v>0</v>
      </c>
      <c r="O387" s="84"/>
      <c r="P387" s="31"/>
      <c r="Q387" s="206"/>
      <c r="R387" s="282"/>
    </row>
    <row r="388" spans="1:18" s="90" customFormat="1" x14ac:dyDescent="0.2">
      <c r="A388" s="282"/>
      <c r="B388" s="205"/>
      <c r="C388" s="64"/>
      <c r="D388" s="76" t="s">
        <v>17</v>
      </c>
      <c r="E388" s="344" t="s">
        <v>130</v>
      </c>
      <c r="F388" s="451">
        <v>0</v>
      </c>
      <c r="G388" s="255">
        <f>$H$4</f>
        <v>0</v>
      </c>
      <c r="H388" s="255">
        <f>+G388*F388</f>
        <v>0</v>
      </c>
      <c r="I388" s="259"/>
      <c r="J388" s="80"/>
      <c r="K388" s="206"/>
      <c r="L388" s="205"/>
      <c r="M388" s="84"/>
      <c r="N388" s="92">
        <f>H388</f>
        <v>0</v>
      </c>
      <c r="O388" s="84"/>
      <c r="P388" s="31"/>
      <c r="Q388" s="206"/>
      <c r="R388" s="282"/>
    </row>
    <row r="389" spans="1:18" s="90" customFormat="1" x14ac:dyDescent="0.2">
      <c r="A389" s="282"/>
      <c r="B389" s="205"/>
      <c r="C389" s="64"/>
      <c r="D389" s="76" t="s">
        <v>14</v>
      </c>
      <c r="E389" s="342" t="s">
        <v>175</v>
      </c>
      <c r="F389" s="451">
        <f>E383</f>
        <v>13919.35</v>
      </c>
      <c r="G389" s="463">
        <v>0.5</v>
      </c>
      <c r="H389" s="255">
        <f>+G389*F389</f>
        <v>6959.6750000000002</v>
      </c>
      <c r="I389" s="259"/>
      <c r="J389" s="80"/>
      <c r="K389" s="206"/>
      <c r="L389" s="205"/>
      <c r="M389" s="84"/>
      <c r="N389" s="92"/>
      <c r="O389" s="84">
        <f>SUM(H389)</f>
        <v>6959.6750000000002</v>
      </c>
      <c r="P389" s="31"/>
      <c r="Q389" s="206"/>
      <c r="R389" s="282"/>
    </row>
    <row r="390" spans="1:18" s="90" customFormat="1" x14ac:dyDescent="0.2">
      <c r="A390" s="282"/>
      <c r="B390" s="243"/>
      <c r="C390" s="64"/>
      <c r="D390" s="76" t="s">
        <v>167</v>
      </c>
      <c r="E390" s="344" t="s">
        <v>127</v>
      </c>
      <c r="F390" s="456">
        <f>+G384+G385+G389</f>
        <v>4</v>
      </c>
      <c r="G390" s="254" t="s">
        <v>153</v>
      </c>
      <c r="H390" s="255">
        <f>SUM(H384:H389)</f>
        <v>94094.806000000011</v>
      </c>
      <c r="I390" s="251"/>
      <c r="J390" s="80"/>
      <c r="K390" s="244"/>
      <c r="L390" s="243"/>
      <c r="M390" s="245"/>
      <c r="N390" s="246"/>
      <c r="O390" s="92"/>
      <c r="P390" s="31"/>
      <c r="Q390" s="244"/>
      <c r="R390" s="282"/>
    </row>
    <row r="391" spans="1:18" s="90" customFormat="1" x14ac:dyDescent="0.2">
      <c r="A391" s="282"/>
      <c r="B391" s="239"/>
      <c r="C391" s="64"/>
      <c r="D391" s="117" t="s">
        <v>152</v>
      </c>
      <c r="E391" s="344" t="s">
        <v>127</v>
      </c>
      <c r="F391" s="451">
        <f>+E383+F386*E386</f>
        <v>23523.701500000003</v>
      </c>
      <c r="G391" s="466"/>
      <c r="H391" s="255">
        <f>+((F391/2)*F390)/6</f>
        <v>7841.2338333333346</v>
      </c>
      <c r="I391" s="256"/>
      <c r="J391" s="242"/>
      <c r="K391" s="240"/>
      <c r="L391" s="239"/>
      <c r="M391" s="84"/>
      <c r="N391" s="93"/>
      <c r="O391" s="94">
        <f>H391</f>
        <v>7841.2338333333346</v>
      </c>
      <c r="P391" s="89"/>
      <c r="Q391" s="240"/>
      <c r="R391" s="282"/>
    </row>
    <row r="392" spans="1:18" s="90" customFormat="1" x14ac:dyDescent="0.2">
      <c r="A392" s="282"/>
      <c r="B392" s="239"/>
      <c r="C392" s="64"/>
      <c r="D392" s="117" t="s">
        <v>211</v>
      </c>
      <c r="E392" s="250"/>
      <c r="F392" s="451">
        <f>+E383+F386*E386</f>
        <v>23523.701500000003</v>
      </c>
      <c r="G392" s="454"/>
      <c r="H392" s="255">
        <f>+(F392/30)*((F390*30)/20)</f>
        <v>4704.7403000000004</v>
      </c>
      <c r="I392" s="257">
        <v>0</v>
      </c>
      <c r="J392" s="94">
        <f>+(H390+H391+H392)*C383</f>
        <v>106640.78013333335</v>
      </c>
      <c r="K392" s="240"/>
      <c r="L392" s="239"/>
      <c r="M392" s="84"/>
      <c r="N392" s="93"/>
      <c r="O392" s="94">
        <f>H392</f>
        <v>4704.7403000000004</v>
      </c>
      <c r="P392" s="89"/>
      <c r="Q392" s="240"/>
      <c r="R392" s="282"/>
    </row>
    <row r="393" spans="1:18" s="90" customFormat="1" x14ac:dyDescent="0.2">
      <c r="A393" s="282"/>
      <c r="B393" s="205"/>
      <c r="C393" s="64"/>
      <c r="D393" s="95"/>
      <c r="E393" s="261"/>
      <c r="F393" s="456"/>
      <c r="G393" s="457"/>
      <c r="H393" s="458"/>
      <c r="I393" s="259"/>
      <c r="J393" s="80"/>
      <c r="K393" s="206"/>
      <c r="L393" s="205"/>
      <c r="M393" s="88"/>
      <c r="N393" s="80"/>
      <c r="O393" s="80"/>
      <c r="P393" s="89"/>
      <c r="Q393" s="206"/>
      <c r="R393" s="282"/>
    </row>
    <row r="394" spans="1:18" s="90" customFormat="1" ht="15" customHeight="1" x14ac:dyDescent="0.2">
      <c r="A394" s="282"/>
      <c r="B394" s="203"/>
      <c r="C394" s="13">
        <v>1</v>
      </c>
      <c r="D394" s="266" t="s">
        <v>195</v>
      </c>
      <c r="E394" s="18">
        <v>13919.35</v>
      </c>
      <c r="F394" s="456"/>
      <c r="G394" s="472"/>
      <c r="H394" s="461"/>
      <c r="I394" s="260"/>
      <c r="J394" s="151"/>
      <c r="K394" s="204"/>
      <c r="L394" s="203"/>
      <c r="M394" s="88"/>
      <c r="N394" s="80"/>
      <c r="O394" s="80"/>
      <c r="P394" s="89"/>
      <c r="Q394" s="204"/>
      <c r="R394" s="282"/>
    </row>
    <row r="395" spans="1:18" s="90" customFormat="1" x14ac:dyDescent="0.2">
      <c r="A395" s="282"/>
      <c r="B395" s="205"/>
      <c r="C395" s="64"/>
      <c r="D395" s="76" t="s">
        <v>93</v>
      </c>
      <c r="E395" s="341" t="s">
        <v>174</v>
      </c>
      <c r="F395" s="451">
        <f>E394</f>
        <v>13919.35</v>
      </c>
      <c r="G395" s="463">
        <v>0</v>
      </c>
      <c r="H395" s="255">
        <f>+G395*F395</f>
        <v>0</v>
      </c>
      <c r="I395" s="259"/>
      <c r="J395" s="80"/>
      <c r="K395" s="206"/>
      <c r="L395" s="205"/>
      <c r="M395" s="84">
        <f>H395</f>
        <v>0</v>
      </c>
      <c r="N395" s="92"/>
      <c r="O395" s="84"/>
      <c r="P395" s="31"/>
      <c r="Q395" s="206"/>
      <c r="R395" s="282"/>
    </row>
    <row r="396" spans="1:18" s="90" customFormat="1" x14ac:dyDescent="0.2">
      <c r="A396" s="282"/>
      <c r="B396" s="205"/>
      <c r="C396" s="64"/>
      <c r="D396" s="76" t="s">
        <v>86</v>
      </c>
      <c r="E396" s="342" t="s">
        <v>174</v>
      </c>
      <c r="F396" s="451">
        <f>E394</f>
        <v>13919.35</v>
      </c>
      <c r="G396" s="463">
        <v>3</v>
      </c>
      <c r="H396" s="255">
        <f>+G396*F396</f>
        <v>41758.050000000003</v>
      </c>
      <c r="I396" s="259"/>
      <c r="J396" s="80"/>
      <c r="K396" s="206"/>
      <c r="L396" s="205"/>
      <c r="M396" s="84"/>
      <c r="N396" s="92">
        <f>H396</f>
        <v>41758.050000000003</v>
      </c>
      <c r="O396" s="84"/>
      <c r="P396" s="31"/>
      <c r="Q396" s="206"/>
      <c r="R396" s="282"/>
    </row>
    <row r="397" spans="1:18" s="90" customFormat="1" x14ac:dyDescent="0.2">
      <c r="A397" s="282"/>
      <c r="B397" s="205"/>
      <c r="C397" s="64"/>
      <c r="D397" s="76" t="s">
        <v>168</v>
      </c>
      <c r="E397" s="343">
        <v>69</v>
      </c>
      <c r="F397" s="451">
        <f>E394/150*1.5</f>
        <v>139.1935</v>
      </c>
      <c r="G397" s="463">
        <f>+F401</f>
        <v>3</v>
      </c>
      <c r="H397" s="255">
        <f>+G397*F397*E397</f>
        <v>28813.054500000002</v>
      </c>
      <c r="I397" s="259"/>
      <c r="J397" s="80"/>
      <c r="K397" s="206"/>
      <c r="L397" s="205"/>
      <c r="M397" s="84"/>
      <c r="N397" s="92">
        <f>H397</f>
        <v>28813.054500000002</v>
      </c>
      <c r="O397" s="84"/>
      <c r="P397" s="31"/>
      <c r="Q397" s="206"/>
      <c r="R397" s="282"/>
    </row>
    <row r="398" spans="1:18" s="90" customFormat="1" x14ac:dyDescent="0.2">
      <c r="A398" s="282"/>
      <c r="B398" s="205"/>
      <c r="C398" s="64"/>
      <c r="D398" s="76" t="s">
        <v>15</v>
      </c>
      <c r="E398" s="344" t="s">
        <v>130</v>
      </c>
      <c r="F398" s="451">
        <v>0</v>
      </c>
      <c r="G398" s="255">
        <f>$H$3</f>
        <v>0</v>
      </c>
      <c r="H398" s="255">
        <f>+G398*F398</f>
        <v>0</v>
      </c>
      <c r="I398" s="259"/>
      <c r="J398" s="80"/>
      <c r="K398" s="206"/>
      <c r="L398" s="205"/>
      <c r="M398" s="84"/>
      <c r="N398" s="92">
        <f>H398</f>
        <v>0</v>
      </c>
      <c r="O398" s="84"/>
      <c r="P398" s="31"/>
      <c r="Q398" s="206"/>
      <c r="R398" s="282"/>
    </row>
    <row r="399" spans="1:18" s="90" customFormat="1" x14ac:dyDescent="0.2">
      <c r="A399" s="282"/>
      <c r="B399" s="205"/>
      <c r="C399" s="64"/>
      <c r="D399" s="76" t="s">
        <v>17</v>
      </c>
      <c r="E399" s="344" t="s">
        <v>130</v>
      </c>
      <c r="F399" s="451">
        <v>0</v>
      </c>
      <c r="G399" s="255">
        <f>$H$4</f>
        <v>0</v>
      </c>
      <c r="H399" s="255">
        <f>+G399*F399</f>
        <v>0</v>
      </c>
      <c r="I399" s="259"/>
      <c r="J399" s="80"/>
      <c r="K399" s="206"/>
      <c r="L399" s="205"/>
      <c r="M399" s="84"/>
      <c r="N399" s="92">
        <f>H399</f>
        <v>0</v>
      </c>
      <c r="O399" s="84"/>
      <c r="P399" s="31"/>
      <c r="Q399" s="206"/>
      <c r="R399" s="282"/>
    </row>
    <row r="400" spans="1:18" s="90" customFormat="1" x14ac:dyDescent="0.2">
      <c r="A400" s="282"/>
      <c r="B400" s="205"/>
      <c r="C400" s="64"/>
      <c r="D400" s="76" t="s">
        <v>14</v>
      </c>
      <c r="E400" s="342" t="s">
        <v>175</v>
      </c>
      <c r="F400" s="451">
        <f>E394</f>
        <v>13919.35</v>
      </c>
      <c r="G400" s="255">
        <v>0</v>
      </c>
      <c r="H400" s="255">
        <f>+G400*F400</f>
        <v>0</v>
      </c>
      <c r="I400" s="259"/>
      <c r="J400" s="80"/>
      <c r="K400" s="206"/>
      <c r="L400" s="205"/>
      <c r="M400" s="84"/>
      <c r="N400" s="92"/>
      <c r="O400" s="84">
        <f>SUM(H400)</f>
        <v>0</v>
      </c>
      <c r="P400" s="31"/>
      <c r="Q400" s="206"/>
      <c r="R400" s="282"/>
    </row>
    <row r="401" spans="1:18" s="90" customFormat="1" x14ac:dyDescent="0.2">
      <c r="A401" s="282"/>
      <c r="B401" s="243"/>
      <c r="C401" s="64"/>
      <c r="D401" s="76" t="s">
        <v>167</v>
      </c>
      <c r="E401" s="344" t="s">
        <v>127</v>
      </c>
      <c r="F401" s="456">
        <f>+G395+G396+G400</f>
        <v>3</v>
      </c>
      <c r="G401" s="254" t="s">
        <v>153</v>
      </c>
      <c r="H401" s="255">
        <f>SUM(H395:H400)</f>
        <v>70571.104500000001</v>
      </c>
      <c r="I401" s="251"/>
      <c r="J401" s="80"/>
      <c r="K401" s="244"/>
      <c r="L401" s="243"/>
      <c r="M401" s="245"/>
      <c r="N401" s="246"/>
      <c r="O401" s="92"/>
      <c r="P401" s="31"/>
      <c r="Q401" s="244"/>
      <c r="R401" s="282"/>
    </row>
    <row r="402" spans="1:18" s="90" customFormat="1" x14ac:dyDescent="0.2">
      <c r="A402" s="282"/>
      <c r="B402" s="239"/>
      <c r="C402" s="64"/>
      <c r="D402" s="117" t="s">
        <v>152</v>
      </c>
      <c r="E402" s="344" t="s">
        <v>127</v>
      </c>
      <c r="F402" s="451">
        <f>+E394+F397*E397</f>
        <v>23523.701500000003</v>
      </c>
      <c r="G402" s="466"/>
      <c r="H402" s="255">
        <f>+((F402/2)*F401)/6</f>
        <v>5880.9253750000016</v>
      </c>
      <c r="I402" s="256"/>
      <c r="J402" s="242"/>
      <c r="K402" s="240"/>
      <c r="L402" s="239"/>
      <c r="M402" s="84"/>
      <c r="N402" s="93"/>
      <c r="O402" s="94">
        <f>H402</f>
        <v>5880.9253750000016</v>
      </c>
      <c r="P402" s="89"/>
      <c r="Q402" s="240"/>
      <c r="R402" s="282"/>
    </row>
    <row r="403" spans="1:18" s="90" customFormat="1" x14ac:dyDescent="0.2">
      <c r="A403" s="282"/>
      <c r="B403" s="239"/>
      <c r="C403" s="64"/>
      <c r="D403" s="117" t="s">
        <v>211</v>
      </c>
      <c r="E403" s="250"/>
      <c r="F403" s="451">
        <f>+E394+F397*E397</f>
        <v>23523.701500000003</v>
      </c>
      <c r="G403" s="454"/>
      <c r="H403" s="255">
        <f>+(F403/30)*((F401*30)/20)</f>
        <v>3528.5552250000005</v>
      </c>
      <c r="I403" s="257">
        <v>0</v>
      </c>
      <c r="J403" s="94">
        <f>+(H401+H402+H403)*C394</f>
        <v>79980.585100000011</v>
      </c>
      <c r="K403" s="240"/>
      <c r="L403" s="239"/>
      <c r="M403" s="84"/>
      <c r="N403" s="93"/>
      <c r="O403" s="94">
        <f>H403</f>
        <v>3528.5552250000005</v>
      </c>
      <c r="P403" s="89"/>
      <c r="Q403" s="240"/>
      <c r="R403" s="282"/>
    </row>
    <row r="404" spans="1:18" s="90" customFormat="1" x14ac:dyDescent="0.2">
      <c r="A404" s="282"/>
      <c r="B404" s="205"/>
      <c r="C404" s="64"/>
      <c r="D404" s="95"/>
      <c r="E404" s="261"/>
      <c r="F404" s="456"/>
      <c r="G404" s="457"/>
      <c r="H404" s="458"/>
      <c r="I404" s="259"/>
      <c r="J404" s="80"/>
      <c r="K404" s="206"/>
      <c r="L404" s="205"/>
      <c r="M404" s="88"/>
      <c r="N404" s="80"/>
      <c r="O404" s="80"/>
      <c r="P404" s="89"/>
      <c r="Q404" s="206"/>
      <c r="R404" s="282"/>
    </row>
    <row r="405" spans="1:18" s="90" customFormat="1" ht="15" customHeight="1" x14ac:dyDescent="0.2">
      <c r="A405" s="282"/>
      <c r="B405" s="203"/>
      <c r="C405" s="13">
        <v>1</v>
      </c>
      <c r="D405" s="266" t="s">
        <v>196</v>
      </c>
      <c r="E405" s="18">
        <v>15044.45</v>
      </c>
      <c r="F405" s="456"/>
      <c r="G405" s="472"/>
      <c r="H405" s="461"/>
      <c r="I405" s="260"/>
      <c r="J405" s="151"/>
      <c r="K405" s="204"/>
      <c r="L405" s="203"/>
      <c r="M405" s="88"/>
      <c r="N405" s="80"/>
      <c r="O405" s="80"/>
      <c r="P405" s="89"/>
      <c r="Q405" s="204"/>
      <c r="R405" s="282"/>
    </row>
    <row r="406" spans="1:18" s="90" customFormat="1" x14ac:dyDescent="0.2">
      <c r="A406" s="282"/>
      <c r="B406" s="205"/>
      <c r="C406" s="64"/>
      <c r="D406" s="76" t="s">
        <v>93</v>
      </c>
      <c r="E406" s="341" t="s">
        <v>174</v>
      </c>
      <c r="F406" s="250">
        <f>E405</f>
        <v>15044.45</v>
      </c>
      <c r="G406" s="63">
        <v>0.25</v>
      </c>
      <c r="H406" s="28">
        <f>+G406*F406</f>
        <v>3761.1125000000002</v>
      </c>
      <c r="I406" s="259"/>
      <c r="J406" s="80"/>
      <c r="K406" s="206"/>
      <c r="L406" s="205"/>
      <c r="M406" s="84">
        <f>H406</f>
        <v>3761.1125000000002</v>
      </c>
      <c r="N406" s="92"/>
      <c r="O406" s="84"/>
      <c r="P406" s="31"/>
      <c r="Q406" s="206"/>
      <c r="R406" s="282"/>
    </row>
    <row r="407" spans="1:18" s="90" customFormat="1" x14ac:dyDescent="0.2">
      <c r="A407" s="282"/>
      <c r="B407" s="205"/>
      <c r="C407" s="64"/>
      <c r="D407" s="76" t="s">
        <v>86</v>
      </c>
      <c r="E407" s="342" t="s">
        <v>174</v>
      </c>
      <c r="F407" s="250">
        <f>E405</f>
        <v>15044.45</v>
      </c>
      <c r="G407" s="63">
        <v>3</v>
      </c>
      <c r="H407" s="28">
        <f>+G407*F407</f>
        <v>45133.350000000006</v>
      </c>
      <c r="I407" s="259"/>
      <c r="J407" s="80"/>
      <c r="K407" s="206"/>
      <c r="L407" s="205"/>
      <c r="M407" s="84"/>
      <c r="N407" s="92">
        <f>H407</f>
        <v>45133.350000000006</v>
      </c>
      <c r="O407" s="84"/>
      <c r="P407" s="31"/>
      <c r="Q407" s="206"/>
      <c r="R407" s="282"/>
    </row>
    <row r="408" spans="1:18" s="90" customFormat="1" x14ac:dyDescent="0.2">
      <c r="A408" s="282"/>
      <c r="B408" s="205"/>
      <c r="C408" s="64"/>
      <c r="D408" s="76" t="s">
        <v>168</v>
      </c>
      <c r="E408" s="343">
        <v>69</v>
      </c>
      <c r="F408" s="250">
        <f>E405/150*1.5</f>
        <v>150.44450000000001</v>
      </c>
      <c r="G408" s="63">
        <f>+F412</f>
        <v>3.25</v>
      </c>
      <c r="H408" s="28">
        <f>+G408*F408*E408</f>
        <v>33737.179125000002</v>
      </c>
      <c r="I408" s="259"/>
      <c r="J408" s="80"/>
      <c r="K408" s="206"/>
      <c r="L408" s="205"/>
      <c r="M408" s="84"/>
      <c r="N408" s="92">
        <f>H408</f>
        <v>33737.179125000002</v>
      </c>
      <c r="O408" s="84"/>
      <c r="P408" s="31"/>
      <c r="Q408" s="206"/>
      <c r="R408" s="282"/>
    </row>
    <row r="409" spans="1:18" s="90" customFormat="1" x14ac:dyDescent="0.2">
      <c r="A409" s="282"/>
      <c r="B409" s="205"/>
      <c r="C409" s="64"/>
      <c r="D409" s="76" t="s">
        <v>15</v>
      </c>
      <c r="E409" s="344" t="s">
        <v>130</v>
      </c>
      <c r="F409" s="250">
        <v>0</v>
      </c>
      <c r="G409" s="28">
        <f>$H$3</f>
        <v>0</v>
      </c>
      <c r="H409" s="28">
        <f>+G409*F409</f>
        <v>0</v>
      </c>
      <c r="I409" s="259"/>
      <c r="J409" s="80"/>
      <c r="K409" s="206"/>
      <c r="L409" s="205"/>
      <c r="M409" s="84"/>
      <c r="N409" s="92">
        <f>H409</f>
        <v>0</v>
      </c>
      <c r="O409" s="84"/>
      <c r="P409" s="31"/>
      <c r="Q409" s="206"/>
      <c r="R409" s="282"/>
    </row>
    <row r="410" spans="1:18" s="90" customFormat="1" x14ac:dyDescent="0.2">
      <c r="A410" s="282"/>
      <c r="B410" s="205"/>
      <c r="C410" s="64"/>
      <c r="D410" s="76" t="s">
        <v>17</v>
      </c>
      <c r="E410" s="344" t="s">
        <v>130</v>
      </c>
      <c r="F410" s="250">
        <v>0</v>
      </c>
      <c r="G410" s="28">
        <f>$H$4</f>
        <v>0</v>
      </c>
      <c r="H410" s="28">
        <f>+G410*F410</f>
        <v>0</v>
      </c>
      <c r="I410" s="259"/>
      <c r="J410" s="80"/>
      <c r="K410" s="206"/>
      <c r="L410" s="205"/>
      <c r="M410" s="84"/>
      <c r="N410" s="92">
        <f>H410</f>
        <v>0</v>
      </c>
      <c r="O410" s="84"/>
      <c r="P410" s="31"/>
      <c r="Q410" s="206"/>
      <c r="R410" s="282"/>
    </row>
    <row r="411" spans="1:18" s="90" customFormat="1" x14ac:dyDescent="0.2">
      <c r="A411" s="282"/>
      <c r="B411" s="205"/>
      <c r="C411" s="64"/>
      <c r="D411" s="76" t="s">
        <v>14</v>
      </c>
      <c r="E411" s="342" t="s">
        <v>175</v>
      </c>
      <c r="F411" s="451">
        <f>E405</f>
        <v>15044.45</v>
      </c>
      <c r="G411" s="255">
        <v>0</v>
      </c>
      <c r="H411" s="255">
        <f>+G411*F411</f>
        <v>0</v>
      </c>
      <c r="I411" s="259"/>
      <c r="J411" s="80"/>
      <c r="K411" s="206"/>
      <c r="L411" s="205"/>
      <c r="M411" s="84"/>
      <c r="N411" s="92"/>
      <c r="O411" s="84">
        <f>SUM(H411)</f>
        <v>0</v>
      </c>
      <c r="P411" s="31"/>
      <c r="Q411" s="206"/>
      <c r="R411" s="282"/>
    </row>
    <row r="412" spans="1:18" s="90" customFormat="1" x14ac:dyDescent="0.2">
      <c r="A412" s="282"/>
      <c r="B412" s="243"/>
      <c r="C412" s="64"/>
      <c r="D412" s="76" t="s">
        <v>167</v>
      </c>
      <c r="E412" s="344" t="s">
        <v>127</v>
      </c>
      <c r="F412" s="456">
        <f>+G406+G407+G411</f>
        <v>3.25</v>
      </c>
      <c r="G412" s="254" t="s">
        <v>153</v>
      </c>
      <c r="H412" s="255">
        <f>SUM(H406:H411)</f>
        <v>82631.641625000018</v>
      </c>
      <c r="I412" s="251"/>
      <c r="J412" s="80"/>
      <c r="K412" s="244"/>
      <c r="L412" s="243"/>
      <c r="M412" s="245"/>
      <c r="N412" s="246"/>
      <c r="O412" s="92"/>
      <c r="P412" s="31"/>
      <c r="Q412" s="244"/>
      <c r="R412" s="282"/>
    </row>
    <row r="413" spans="1:18" s="90" customFormat="1" x14ac:dyDescent="0.2">
      <c r="A413" s="282"/>
      <c r="B413" s="239"/>
      <c r="C413" s="64"/>
      <c r="D413" s="117" t="s">
        <v>152</v>
      </c>
      <c r="E413" s="344" t="s">
        <v>127</v>
      </c>
      <c r="F413" s="451">
        <f>+E405+F408*E408</f>
        <v>25425.120500000001</v>
      </c>
      <c r="G413" s="466"/>
      <c r="H413" s="255">
        <f>+((F413/2)*F412)/6</f>
        <v>6885.9701354166673</v>
      </c>
      <c r="I413" s="256"/>
      <c r="J413" s="242"/>
      <c r="K413" s="240"/>
      <c r="L413" s="239"/>
      <c r="M413" s="84"/>
      <c r="N413" s="93"/>
      <c r="O413" s="94">
        <f>H413</f>
        <v>6885.9701354166673</v>
      </c>
      <c r="P413" s="89"/>
      <c r="Q413" s="240"/>
      <c r="R413" s="282"/>
    </row>
    <row r="414" spans="1:18" s="90" customFormat="1" x14ac:dyDescent="0.2">
      <c r="A414" s="282"/>
      <c r="B414" s="239"/>
      <c r="C414" s="64"/>
      <c r="D414" s="117" t="s">
        <v>211</v>
      </c>
      <c r="E414" s="250"/>
      <c r="F414" s="451">
        <f>+E405+F408*E408</f>
        <v>25425.120500000001</v>
      </c>
      <c r="G414" s="454"/>
      <c r="H414" s="255">
        <f>+(F414/30)*((F412*30)/20)</f>
        <v>4131.5820812499996</v>
      </c>
      <c r="I414" s="257">
        <v>0</v>
      </c>
      <c r="J414" s="94">
        <f>+(H412+H413+H414)*C405</f>
        <v>93649.193841666682</v>
      </c>
      <c r="K414" s="240"/>
      <c r="L414" s="239"/>
      <c r="M414" s="84"/>
      <c r="N414" s="93"/>
      <c r="O414" s="94">
        <f>H414</f>
        <v>4131.5820812499996</v>
      </c>
      <c r="P414" s="89"/>
      <c r="Q414" s="240"/>
      <c r="R414" s="282"/>
    </row>
    <row r="415" spans="1:18" s="90" customFormat="1" x14ac:dyDescent="0.2">
      <c r="A415" s="282"/>
      <c r="B415" s="205"/>
      <c r="C415" s="64"/>
      <c r="D415" s="95"/>
      <c r="E415" s="7"/>
      <c r="F415" s="456"/>
      <c r="G415" s="457"/>
      <c r="H415" s="458"/>
      <c r="I415" s="259"/>
      <c r="J415" s="80"/>
      <c r="K415" s="206"/>
      <c r="L415" s="205"/>
      <c r="M415" s="88"/>
      <c r="N415" s="80"/>
      <c r="O415" s="80"/>
      <c r="P415" s="89"/>
      <c r="Q415" s="206"/>
      <c r="R415" s="282"/>
    </row>
    <row r="416" spans="1:18" s="90" customFormat="1" ht="15" customHeight="1" x14ac:dyDescent="0.2">
      <c r="A416" s="282"/>
      <c r="B416" s="203"/>
      <c r="C416" s="13">
        <v>1</v>
      </c>
      <c r="D416" s="266" t="s">
        <v>197</v>
      </c>
      <c r="E416" s="18">
        <v>15044.45</v>
      </c>
      <c r="F416" s="456"/>
      <c r="G416" s="472"/>
      <c r="H416" s="461"/>
      <c r="I416" s="260"/>
      <c r="J416" s="151"/>
      <c r="K416" s="204"/>
      <c r="L416" s="203"/>
      <c r="M416" s="88"/>
      <c r="N416" s="80"/>
      <c r="O416" s="80"/>
      <c r="P416" s="89"/>
      <c r="Q416" s="204"/>
      <c r="R416" s="282"/>
    </row>
    <row r="417" spans="1:18" s="90" customFormat="1" x14ac:dyDescent="0.2">
      <c r="A417" s="282"/>
      <c r="B417" s="205"/>
      <c r="C417" s="64"/>
      <c r="D417" s="76" t="s">
        <v>93</v>
      </c>
      <c r="E417" s="341" t="s">
        <v>174</v>
      </c>
      <c r="F417" s="451">
        <f>E416</f>
        <v>15044.45</v>
      </c>
      <c r="G417" s="463">
        <v>0.25</v>
      </c>
      <c r="H417" s="255">
        <f>+G417*F417</f>
        <v>3761.1125000000002</v>
      </c>
      <c r="I417" s="259"/>
      <c r="J417" s="80"/>
      <c r="K417" s="206"/>
      <c r="L417" s="205"/>
      <c r="M417" s="84">
        <f>H417</f>
        <v>3761.1125000000002</v>
      </c>
      <c r="N417" s="92"/>
      <c r="O417" s="84"/>
      <c r="P417" s="31"/>
      <c r="Q417" s="206"/>
      <c r="R417" s="282"/>
    </row>
    <row r="418" spans="1:18" s="90" customFormat="1" x14ac:dyDescent="0.2">
      <c r="A418" s="282"/>
      <c r="B418" s="205"/>
      <c r="C418" s="64"/>
      <c r="D418" s="76" t="s">
        <v>86</v>
      </c>
      <c r="E418" s="342" t="s">
        <v>174</v>
      </c>
      <c r="F418" s="451">
        <f>E416</f>
        <v>15044.45</v>
      </c>
      <c r="G418" s="463">
        <v>3</v>
      </c>
      <c r="H418" s="255">
        <f>+G418*F418</f>
        <v>45133.350000000006</v>
      </c>
      <c r="I418" s="259"/>
      <c r="J418" s="80"/>
      <c r="K418" s="206"/>
      <c r="L418" s="205"/>
      <c r="M418" s="84"/>
      <c r="N418" s="92">
        <f>H418</f>
        <v>45133.350000000006</v>
      </c>
      <c r="O418" s="84"/>
      <c r="P418" s="31"/>
      <c r="Q418" s="206"/>
      <c r="R418" s="282"/>
    </row>
    <row r="419" spans="1:18" s="90" customFormat="1" x14ac:dyDescent="0.2">
      <c r="A419" s="282"/>
      <c r="B419" s="205"/>
      <c r="C419" s="64"/>
      <c r="D419" s="76" t="s">
        <v>168</v>
      </c>
      <c r="E419" s="343">
        <v>69</v>
      </c>
      <c r="F419" s="451">
        <f>E416/150*1.5</f>
        <v>150.44450000000001</v>
      </c>
      <c r="G419" s="463">
        <f>+F423</f>
        <v>3.25</v>
      </c>
      <c r="H419" s="255">
        <f>+G419*F419*E419</f>
        <v>33737.179125000002</v>
      </c>
      <c r="I419" s="259"/>
      <c r="J419" s="80"/>
      <c r="K419" s="206"/>
      <c r="L419" s="205"/>
      <c r="M419" s="84"/>
      <c r="N419" s="92">
        <f>H419</f>
        <v>33737.179125000002</v>
      </c>
      <c r="O419" s="84"/>
      <c r="P419" s="31"/>
      <c r="Q419" s="206"/>
      <c r="R419" s="282"/>
    </row>
    <row r="420" spans="1:18" s="90" customFormat="1" x14ac:dyDescent="0.2">
      <c r="A420" s="282"/>
      <c r="B420" s="205"/>
      <c r="C420" s="64"/>
      <c r="D420" s="76" t="s">
        <v>15</v>
      </c>
      <c r="E420" s="344" t="s">
        <v>130</v>
      </c>
      <c r="F420" s="451">
        <v>0</v>
      </c>
      <c r="G420" s="255">
        <f>$H$3</f>
        <v>0</v>
      </c>
      <c r="H420" s="255">
        <f>+G420*F420</f>
        <v>0</v>
      </c>
      <c r="I420" s="259"/>
      <c r="J420" s="80"/>
      <c r="K420" s="206"/>
      <c r="L420" s="205"/>
      <c r="M420" s="84"/>
      <c r="N420" s="92">
        <f>H420</f>
        <v>0</v>
      </c>
      <c r="O420" s="84"/>
      <c r="P420" s="31"/>
      <c r="Q420" s="206"/>
      <c r="R420" s="282"/>
    </row>
    <row r="421" spans="1:18" s="90" customFormat="1" x14ac:dyDescent="0.2">
      <c r="A421" s="282"/>
      <c r="B421" s="205"/>
      <c r="C421" s="64"/>
      <c r="D421" s="76" t="s">
        <v>17</v>
      </c>
      <c r="E421" s="344" t="s">
        <v>130</v>
      </c>
      <c r="F421" s="451">
        <v>0</v>
      </c>
      <c r="G421" s="255">
        <f>$H$4</f>
        <v>0</v>
      </c>
      <c r="H421" s="255">
        <f>+G421*F421</f>
        <v>0</v>
      </c>
      <c r="I421" s="259"/>
      <c r="J421" s="80"/>
      <c r="K421" s="206"/>
      <c r="L421" s="205"/>
      <c r="M421" s="84"/>
      <c r="N421" s="92">
        <f>H421</f>
        <v>0</v>
      </c>
      <c r="O421" s="84"/>
      <c r="P421" s="31"/>
      <c r="Q421" s="206"/>
      <c r="R421" s="282"/>
    </row>
    <row r="422" spans="1:18" s="90" customFormat="1" x14ac:dyDescent="0.2">
      <c r="A422" s="282"/>
      <c r="B422" s="205"/>
      <c r="C422" s="64"/>
      <c r="D422" s="76" t="s">
        <v>14</v>
      </c>
      <c r="E422" s="342" t="s">
        <v>175</v>
      </c>
      <c r="F422" s="451">
        <f>E416</f>
        <v>15044.45</v>
      </c>
      <c r="G422" s="255">
        <v>0</v>
      </c>
      <c r="H422" s="255">
        <f>+G422*F422</f>
        <v>0</v>
      </c>
      <c r="I422" s="259"/>
      <c r="J422" s="80"/>
      <c r="K422" s="206"/>
      <c r="L422" s="205"/>
      <c r="M422" s="84"/>
      <c r="N422" s="92"/>
      <c r="O422" s="84">
        <f>SUM(H422)</f>
        <v>0</v>
      </c>
      <c r="P422" s="31"/>
      <c r="Q422" s="206"/>
      <c r="R422" s="282"/>
    </row>
    <row r="423" spans="1:18" s="90" customFormat="1" x14ac:dyDescent="0.2">
      <c r="A423" s="282"/>
      <c r="B423" s="243"/>
      <c r="C423" s="64"/>
      <c r="D423" s="76" t="s">
        <v>167</v>
      </c>
      <c r="E423" s="344" t="s">
        <v>127</v>
      </c>
      <c r="F423" s="456">
        <f>+G417+G418+G422</f>
        <v>3.25</v>
      </c>
      <c r="G423" s="254" t="s">
        <v>153</v>
      </c>
      <c r="H423" s="255">
        <f>SUM(H417:H422)</f>
        <v>82631.641625000018</v>
      </c>
      <c r="I423" s="251"/>
      <c r="J423" s="80"/>
      <c r="K423" s="244"/>
      <c r="L423" s="243"/>
      <c r="M423" s="245"/>
      <c r="N423" s="246"/>
      <c r="O423" s="92"/>
      <c r="P423" s="31"/>
      <c r="Q423" s="244"/>
      <c r="R423" s="282"/>
    </row>
    <row r="424" spans="1:18" s="90" customFormat="1" x14ac:dyDescent="0.2">
      <c r="A424" s="282"/>
      <c r="B424" s="239"/>
      <c r="C424" s="64"/>
      <c r="D424" s="117" t="s">
        <v>152</v>
      </c>
      <c r="E424" s="344" t="s">
        <v>127</v>
      </c>
      <c r="F424" s="451">
        <f>+E416+F419*E419</f>
        <v>25425.120500000001</v>
      </c>
      <c r="G424" s="466"/>
      <c r="H424" s="255">
        <f>+((F424/2)*F423)/6</f>
        <v>6885.9701354166673</v>
      </c>
      <c r="I424" s="256"/>
      <c r="J424" s="242"/>
      <c r="K424" s="240"/>
      <c r="L424" s="239"/>
      <c r="M424" s="84"/>
      <c r="N424" s="93"/>
      <c r="O424" s="94">
        <f>H424</f>
        <v>6885.9701354166673</v>
      </c>
      <c r="P424" s="89"/>
      <c r="Q424" s="240"/>
      <c r="R424" s="282"/>
    </row>
    <row r="425" spans="1:18" s="90" customFormat="1" x14ac:dyDescent="0.2">
      <c r="A425" s="282"/>
      <c r="B425" s="239"/>
      <c r="C425" s="64"/>
      <c r="D425" s="117" t="s">
        <v>211</v>
      </c>
      <c r="E425" s="250"/>
      <c r="F425" s="451">
        <f>+E416+F419*E419</f>
        <v>25425.120500000001</v>
      </c>
      <c r="G425" s="454"/>
      <c r="H425" s="255">
        <f>+(F425/30)*((F423*30)/20)</f>
        <v>4131.5820812499996</v>
      </c>
      <c r="I425" s="257">
        <v>0</v>
      </c>
      <c r="J425" s="94">
        <f>+(H423+H424+H425)*C416</f>
        <v>93649.193841666682</v>
      </c>
      <c r="K425" s="240"/>
      <c r="L425" s="239"/>
      <c r="M425" s="84"/>
      <c r="N425" s="93"/>
      <c r="O425" s="94">
        <f>H425</f>
        <v>4131.5820812499996</v>
      </c>
      <c r="P425" s="89"/>
      <c r="Q425" s="240"/>
      <c r="R425" s="282"/>
    </row>
    <row r="426" spans="1:18" s="90" customFormat="1" x14ac:dyDescent="0.2">
      <c r="A426" s="282"/>
      <c r="B426" s="205"/>
      <c r="C426" s="64"/>
      <c r="D426" s="95"/>
      <c r="E426" s="7"/>
      <c r="F426" s="456"/>
      <c r="G426" s="457"/>
      <c r="H426" s="458"/>
      <c r="I426" s="259"/>
      <c r="J426" s="80"/>
      <c r="K426" s="206"/>
      <c r="L426" s="205"/>
      <c r="M426" s="88"/>
      <c r="N426" s="80"/>
      <c r="O426" s="80"/>
      <c r="P426" s="89"/>
      <c r="Q426" s="206"/>
      <c r="R426" s="282"/>
    </row>
    <row r="427" spans="1:18" s="90" customFormat="1" ht="15" customHeight="1" x14ac:dyDescent="0.2">
      <c r="A427" s="282"/>
      <c r="B427" s="203"/>
      <c r="C427" s="13">
        <v>1</v>
      </c>
      <c r="D427" s="266" t="s">
        <v>198</v>
      </c>
      <c r="E427" s="18">
        <v>13919.35</v>
      </c>
      <c r="F427" s="456"/>
      <c r="G427" s="472"/>
      <c r="H427" s="461"/>
      <c r="I427" s="260"/>
      <c r="J427" s="151"/>
      <c r="K427" s="204"/>
      <c r="L427" s="203"/>
      <c r="M427" s="88"/>
      <c r="N427" s="80"/>
      <c r="O427" s="80"/>
      <c r="P427" s="89"/>
      <c r="Q427" s="204"/>
      <c r="R427" s="282"/>
    </row>
    <row r="428" spans="1:18" s="90" customFormat="1" x14ac:dyDescent="0.2">
      <c r="A428" s="282"/>
      <c r="B428" s="205"/>
      <c r="C428" s="64"/>
      <c r="D428" s="76" t="s">
        <v>93</v>
      </c>
      <c r="E428" s="341" t="s">
        <v>174</v>
      </c>
      <c r="F428" s="451">
        <f>E427</f>
        <v>13919.35</v>
      </c>
      <c r="G428" s="463">
        <v>0</v>
      </c>
      <c r="H428" s="255">
        <f t="shared" ref="H428:H433" si="12">+G428*F428</f>
        <v>0</v>
      </c>
      <c r="I428" s="259"/>
      <c r="J428" s="80"/>
      <c r="K428" s="206"/>
      <c r="L428" s="205"/>
      <c r="M428" s="84">
        <f>H428</f>
        <v>0</v>
      </c>
      <c r="N428" s="92"/>
      <c r="O428" s="84"/>
      <c r="P428" s="31"/>
      <c r="Q428" s="206"/>
      <c r="R428" s="282"/>
    </row>
    <row r="429" spans="1:18" s="90" customFormat="1" x14ac:dyDescent="0.2">
      <c r="A429" s="282"/>
      <c r="B429" s="205"/>
      <c r="C429" s="64"/>
      <c r="D429" s="76" t="s">
        <v>86</v>
      </c>
      <c r="E429" s="342" t="s">
        <v>174</v>
      </c>
      <c r="F429" s="451">
        <f>E427</f>
        <v>13919.35</v>
      </c>
      <c r="G429" s="463">
        <v>3</v>
      </c>
      <c r="H429" s="255">
        <f t="shared" si="12"/>
        <v>41758.050000000003</v>
      </c>
      <c r="I429" s="259"/>
      <c r="J429" s="80"/>
      <c r="K429" s="206"/>
      <c r="L429" s="205"/>
      <c r="M429" s="84"/>
      <c r="N429" s="92">
        <f>H429</f>
        <v>41758.050000000003</v>
      </c>
      <c r="O429" s="84"/>
      <c r="P429" s="31"/>
      <c r="Q429" s="206"/>
      <c r="R429" s="282"/>
    </row>
    <row r="430" spans="1:18" s="90" customFormat="1" x14ac:dyDescent="0.2">
      <c r="A430" s="282"/>
      <c r="B430" s="205"/>
      <c r="C430" s="64"/>
      <c r="D430" s="76" t="s">
        <v>168</v>
      </c>
      <c r="E430" s="343">
        <v>69</v>
      </c>
      <c r="F430" s="451">
        <f>E427/150*1.5</f>
        <v>139.1935</v>
      </c>
      <c r="G430" s="463">
        <f>+F434</f>
        <v>3</v>
      </c>
      <c r="H430" s="255">
        <f>+G430*F430*E430</f>
        <v>28813.054500000002</v>
      </c>
      <c r="I430" s="259"/>
      <c r="J430" s="80"/>
      <c r="K430" s="206"/>
      <c r="L430" s="205"/>
      <c r="M430" s="84"/>
      <c r="N430" s="92">
        <f>H430</f>
        <v>28813.054500000002</v>
      </c>
      <c r="O430" s="84"/>
      <c r="P430" s="31"/>
      <c r="Q430" s="206"/>
      <c r="R430" s="282"/>
    </row>
    <row r="431" spans="1:18" s="90" customFormat="1" x14ac:dyDescent="0.2">
      <c r="A431" s="282"/>
      <c r="B431" s="205"/>
      <c r="C431" s="64"/>
      <c r="D431" s="76" t="s">
        <v>15</v>
      </c>
      <c r="E431" s="344" t="s">
        <v>130</v>
      </c>
      <c r="F431" s="451">
        <v>0</v>
      </c>
      <c r="G431" s="255">
        <f>$H$3</f>
        <v>0</v>
      </c>
      <c r="H431" s="255">
        <f t="shared" si="12"/>
        <v>0</v>
      </c>
      <c r="I431" s="259"/>
      <c r="J431" s="80"/>
      <c r="K431" s="206"/>
      <c r="L431" s="205"/>
      <c r="M431" s="84"/>
      <c r="N431" s="92">
        <f>H431</f>
        <v>0</v>
      </c>
      <c r="O431" s="84"/>
      <c r="P431" s="31"/>
      <c r="Q431" s="206"/>
      <c r="R431" s="282"/>
    </row>
    <row r="432" spans="1:18" s="90" customFormat="1" x14ac:dyDescent="0.2">
      <c r="A432" s="282"/>
      <c r="B432" s="205"/>
      <c r="C432" s="64"/>
      <c r="D432" s="76" t="s">
        <v>17</v>
      </c>
      <c r="E432" s="344" t="s">
        <v>130</v>
      </c>
      <c r="F432" s="451">
        <v>0</v>
      </c>
      <c r="G432" s="255">
        <f>$H$4</f>
        <v>0</v>
      </c>
      <c r="H432" s="255">
        <f t="shared" si="12"/>
        <v>0</v>
      </c>
      <c r="I432" s="259"/>
      <c r="J432" s="80"/>
      <c r="K432" s="206"/>
      <c r="L432" s="205"/>
      <c r="M432" s="84"/>
      <c r="N432" s="92">
        <f>H432</f>
        <v>0</v>
      </c>
      <c r="O432" s="84"/>
      <c r="P432" s="31"/>
      <c r="Q432" s="206"/>
      <c r="R432" s="282"/>
    </row>
    <row r="433" spans="1:18" s="90" customFormat="1" x14ac:dyDescent="0.2">
      <c r="A433" s="282"/>
      <c r="B433" s="205"/>
      <c r="C433" s="64"/>
      <c r="D433" s="76" t="s">
        <v>14</v>
      </c>
      <c r="E433" s="342" t="s">
        <v>175</v>
      </c>
      <c r="F433" s="451">
        <f>E427</f>
        <v>13919.35</v>
      </c>
      <c r="G433" s="255">
        <v>0</v>
      </c>
      <c r="H433" s="255">
        <f t="shared" si="12"/>
        <v>0</v>
      </c>
      <c r="I433" s="259"/>
      <c r="J433" s="80"/>
      <c r="K433" s="206"/>
      <c r="L433" s="205"/>
      <c r="M433" s="84"/>
      <c r="N433" s="92"/>
      <c r="O433" s="84">
        <f>SUM(H433)</f>
        <v>0</v>
      </c>
      <c r="P433" s="31"/>
      <c r="Q433" s="206"/>
      <c r="R433" s="282"/>
    </row>
    <row r="434" spans="1:18" s="90" customFormat="1" x14ac:dyDescent="0.2">
      <c r="A434" s="282"/>
      <c r="B434" s="243"/>
      <c r="C434" s="64"/>
      <c r="D434" s="76" t="s">
        <v>167</v>
      </c>
      <c r="E434" s="344" t="s">
        <v>127</v>
      </c>
      <c r="F434" s="456">
        <f>+G428+G429+G433</f>
        <v>3</v>
      </c>
      <c r="G434" s="254" t="s">
        <v>153</v>
      </c>
      <c r="H434" s="255">
        <f>SUM(H428:H433)</f>
        <v>70571.104500000001</v>
      </c>
      <c r="I434" s="251"/>
      <c r="J434" s="80"/>
      <c r="K434" s="244"/>
      <c r="L434" s="243"/>
      <c r="M434" s="245"/>
      <c r="N434" s="246"/>
      <c r="O434" s="92"/>
      <c r="P434" s="31"/>
      <c r="Q434" s="244"/>
      <c r="R434" s="282"/>
    </row>
    <row r="435" spans="1:18" s="90" customFormat="1" x14ac:dyDescent="0.2">
      <c r="A435" s="282"/>
      <c r="B435" s="239"/>
      <c r="C435" s="64"/>
      <c r="D435" s="117" t="s">
        <v>152</v>
      </c>
      <c r="E435" s="344" t="s">
        <v>127</v>
      </c>
      <c r="F435" s="451">
        <f>+E427+F430*E430</f>
        <v>23523.701500000003</v>
      </c>
      <c r="G435" s="466"/>
      <c r="H435" s="255">
        <f>+((F435/2)*F434)/6</f>
        <v>5880.9253750000016</v>
      </c>
      <c r="I435" s="256"/>
      <c r="J435" s="242"/>
      <c r="K435" s="240"/>
      <c r="L435" s="239"/>
      <c r="M435" s="84"/>
      <c r="N435" s="93"/>
      <c r="O435" s="94">
        <f>H435</f>
        <v>5880.9253750000016</v>
      </c>
      <c r="P435" s="89"/>
      <c r="Q435" s="240"/>
      <c r="R435" s="282"/>
    </row>
    <row r="436" spans="1:18" s="90" customFormat="1" x14ac:dyDescent="0.2">
      <c r="A436" s="282"/>
      <c r="B436" s="239"/>
      <c r="C436" s="64"/>
      <c r="D436" s="117" t="s">
        <v>211</v>
      </c>
      <c r="E436" s="250"/>
      <c r="F436" s="451">
        <f>+E427+F430*E430</f>
        <v>23523.701500000003</v>
      </c>
      <c r="G436" s="454"/>
      <c r="H436" s="255">
        <f>+(F436/30)*((F434*30)/20)</f>
        <v>3528.5552250000005</v>
      </c>
      <c r="I436" s="257">
        <v>0</v>
      </c>
      <c r="J436" s="94">
        <f>+(H434+H435+H436)*C427</f>
        <v>79980.585100000011</v>
      </c>
      <c r="K436" s="240"/>
      <c r="L436" s="239"/>
      <c r="M436" s="84"/>
      <c r="N436" s="93"/>
      <c r="O436" s="94">
        <f>H436</f>
        <v>3528.5552250000005</v>
      </c>
      <c r="P436" s="89"/>
      <c r="Q436" s="240"/>
      <c r="R436" s="282"/>
    </row>
    <row r="437" spans="1:18" s="90" customFormat="1" x14ac:dyDescent="0.2">
      <c r="A437" s="282"/>
      <c r="B437" s="205"/>
      <c r="C437" s="64"/>
      <c r="D437" s="95"/>
      <c r="E437" s="7"/>
      <c r="F437" s="456"/>
      <c r="G437" s="457"/>
      <c r="H437" s="458"/>
      <c r="I437" s="259"/>
      <c r="J437" s="80"/>
      <c r="K437" s="206"/>
      <c r="L437" s="205"/>
      <c r="M437" s="88"/>
      <c r="N437" s="80"/>
      <c r="O437" s="80"/>
      <c r="P437" s="89"/>
      <c r="Q437" s="206"/>
      <c r="R437" s="282"/>
    </row>
    <row r="438" spans="1:18" s="90" customFormat="1" ht="15" customHeight="1" x14ac:dyDescent="0.2">
      <c r="A438" s="282"/>
      <c r="B438" s="203"/>
      <c r="C438" s="13">
        <v>1</v>
      </c>
      <c r="D438" s="266" t="s">
        <v>199</v>
      </c>
      <c r="E438" s="18">
        <v>17683.52</v>
      </c>
      <c r="F438" s="456"/>
      <c r="G438" s="472"/>
      <c r="H438" s="461"/>
      <c r="I438" s="260"/>
      <c r="J438" s="151"/>
      <c r="K438" s="204"/>
      <c r="L438" s="203"/>
      <c r="M438" s="88"/>
      <c r="N438" s="80"/>
      <c r="O438" s="80"/>
      <c r="P438" s="89"/>
      <c r="Q438" s="204"/>
      <c r="R438" s="282"/>
    </row>
    <row r="439" spans="1:18" s="90" customFormat="1" x14ac:dyDescent="0.2">
      <c r="A439" s="282"/>
      <c r="B439" s="205"/>
      <c r="C439" s="64"/>
      <c r="D439" s="76" t="s">
        <v>93</v>
      </c>
      <c r="E439" s="341" t="s">
        <v>174</v>
      </c>
      <c r="F439" s="451">
        <f>E438</f>
        <v>17683.52</v>
      </c>
      <c r="G439" s="463">
        <v>0</v>
      </c>
      <c r="H439" s="255">
        <f t="shared" ref="H439:H444" si="13">+G439*F439</f>
        <v>0</v>
      </c>
      <c r="I439" s="259"/>
      <c r="J439" s="80"/>
      <c r="K439" s="206"/>
      <c r="L439" s="205"/>
      <c r="M439" s="84">
        <f>H439</f>
        <v>0</v>
      </c>
      <c r="N439" s="92"/>
      <c r="O439" s="84"/>
      <c r="P439" s="31"/>
      <c r="Q439" s="206"/>
      <c r="R439" s="282"/>
    </row>
    <row r="440" spans="1:18" s="90" customFormat="1" x14ac:dyDescent="0.2">
      <c r="A440" s="282"/>
      <c r="B440" s="205"/>
      <c r="C440" s="64"/>
      <c r="D440" s="76" t="s">
        <v>86</v>
      </c>
      <c r="E440" s="342" t="s">
        <v>174</v>
      </c>
      <c r="F440" s="451">
        <f>E438</f>
        <v>17683.52</v>
      </c>
      <c r="G440" s="463">
        <v>3</v>
      </c>
      <c r="H440" s="255">
        <f t="shared" si="13"/>
        <v>53050.559999999998</v>
      </c>
      <c r="I440" s="259"/>
      <c r="J440" s="80"/>
      <c r="K440" s="206"/>
      <c r="L440" s="205"/>
      <c r="M440" s="84"/>
      <c r="N440" s="92">
        <f>H440</f>
        <v>53050.559999999998</v>
      </c>
      <c r="O440" s="84"/>
      <c r="P440" s="31"/>
      <c r="Q440" s="206"/>
      <c r="R440" s="282"/>
    </row>
    <row r="441" spans="1:18" s="90" customFormat="1" x14ac:dyDescent="0.2">
      <c r="A441" s="282"/>
      <c r="B441" s="205"/>
      <c r="C441" s="64"/>
      <c r="D441" s="76" t="s">
        <v>168</v>
      </c>
      <c r="E441" s="343">
        <v>69</v>
      </c>
      <c r="F441" s="451">
        <f>E438/150*1.5</f>
        <v>176.83520000000001</v>
      </c>
      <c r="G441" s="463">
        <f>+F445</f>
        <v>3</v>
      </c>
      <c r="H441" s="255">
        <f>+G441*F441*E441</f>
        <v>36604.886400000003</v>
      </c>
      <c r="I441" s="259"/>
      <c r="J441" s="80"/>
      <c r="K441" s="206"/>
      <c r="L441" s="205"/>
      <c r="M441" s="84"/>
      <c r="N441" s="92">
        <f>H441</f>
        <v>36604.886400000003</v>
      </c>
      <c r="O441" s="84"/>
      <c r="P441" s="31"/>
      <c r="Q441" s="206"/>
      <c r="R441" s="282"/>
    </row>
    <row r="442" spans="1:18" s="90" customFormat="1" x14ac:dyDescent="0.2">
      <c r="A442" s="282"/>
      <c r="B442" s="205"/>
      <c r="C442" s="64"/>
      <c r="D442" s="76" t="s">
        <v>15</v>
      </c>
      <c r="E442" s="344" t="s">
        <v>130</v>
      </c>
      <c r="F442" s="451">
        <v>0</v>
      </c>
      <c r="G442" s="255">
        <f>$H$3</f>
        <v>0</v>
      </c>
      <c r="H442" s="255">
        <f t="shared" si="13"/>
        <v>0</v>
      </c>
      <c r="I442" s="259"/>
      <c r="J442" s="80"/>
      <c r="K442" s="206"/>
      <c r="L442" s="205"/>
      <c r="M442" s="84"/>
      <c r="N442" s="92">
        <f>H442</f>
        <v>0</v>
      </c>
      <c r="O442" s="84"/>
      <c r="P442" s="31"/>
      <c r="Q442" s="206"/>
      <c r="R442" s="282"/>
    </row>
    <row r="443" spans="1:18" s="90" customFormat="1" x14ac:dyDescent="0.2">
      <c r="A443" s="282"/>
      <c r="B443" s="205"/>
      <c r="C443" s="64"/>
      <c r="D443" s="76" t="s">
        <v>17</v>
      </c>
      <c r="E443" s="344" t="s">
        <v>130</v>
      </c>
      <c r="F443" s="451">
        <v>0</v>
      </c>
      <c r="G443" s="255">
        <f>$H$4</f>
        <v>0</v>
      </c>
      <c r="H443" s="255">
        <f t="shared" si="13"/>
        <v>0</v>
      </c>
      <c r="I443" s="259"/>
      <c r="J443" s="80"/>
      <c r="K443" s="206"/>
      <c r="L443" s="205"/>
      <c r="M443" s="84"/>
      <c r="N443" s="92">
        <f>H443</f>
        <v>0</v>
      </c>
      <c r="O443" s="84"/>
      <c r="P443" s="31"/>
      <c r="Q443" s="206"/>
      <c r="R443" s="282"/>
    </row>
    <row r="444" spans="1:18" s="90" customFormat="1" x14ac:dyDescent="0.2">
      <c r="A444" s="282"/>
      <c r="B444" s="205"/>
      <c r="C444" s="64"/>
      <c r="D444" s="76" t="s">
        <v>14</v>
      </c>
      <c r="E444" s="342" t="s">
        <v>175</v>
      </c>
      <c r="F444" s="451">
        <f>E438</f>
        <v>17683.52</v>
      </c>
      <c r="G444" s="255">
        <v>0</v>
      </c>
      <c r="H444" s="255">
        <f t="shared" si="13"/>
        <v>0</v>
      </c>
      <c r="I444" s="259"/>
      <c r="J444" s="80"/>
      <c r="K444" s="206"/>
      <c r="L444" s="205"/>
      <c r="M444" s="84"/>
      <c r="N444" s="92"/>
      <c r="O444" s="84">
        <f>SUM(H444)</f>
        <v>0</v>
      </c>
      <c r="P444" s="31"/>
      <c r="Q444" s="206"/>
      <c r="R444" s="282"/>
    </row>
    <row r="445" spans="1:18" s="90" customFormat="1" x14ac:dyDescent="0.2">
      <c r="A445" s="282"/>
      <c r="B445" s="243"/>
      <c r="C445" s="64"/>
      <c r="D445" s="76" t="s">
        <v>167</v>
      </c>
      <c r="E445" s="344" t="s">
        <v>127</v>
      </c>
      <c r="F445" s="456">
        <f>+G439+G440+G444</f>
        <v>3</v>
      </c>
      <c r="G445" s="254" t="s">
        <v>153</v>
      </c>
      <c r="H445" s="255">
        <f>SUM(H439:H444)</f>
        <v>89655.446400000001</v>
      </c>
      <c r="I445" s="251"/>
      <c r="J445" s="80"/>
      <c r="K445" s="244"/>
      <c r="L445" s="243"/>
      <c r="M445" s="245"/>
      <c r="N445" s="246"/>
      <c r="O445" s="92"/>
      <c r="P445" s="31"/>
      <c r="Q445" s="244"/>
      <c r="R445" s="282"/>
    </row>
    <row r="446" spans="1:18" s="90" customFormat="1" x14ac:dyDescent="0.2">
      <c r="A446" s="282"/>
      <c r="B446" s="239"/>
      <c r="C446" s="64"/>
      <c r="D446" s="117" t="s">
        <v>152</v>
      </c>
      <c r="E446" s="344" t="s">
        <v>127</v>
      </c>
      <c r="F446" s="451">
        <f>+E438+F441*E441</f>
        <v>29885.148800000003</v>
      </c>
      <c r="G446" s="466"/>
      <c r="H446" s="255">
        <f>+((F446/2)*F445)/6</f>
        <v>7471.2872000000016</v>
      </c>
      <c r="I446" s="256"/>
      <c r="J446" s="242"/>
      <c r="K446" s="240"/>
      <c r="L446" s="239"/>
      <c r="M446" s="84"/>
      <c r="N446" s="93"/>
      <c r="O446" s="94">
        <f>H446</f>
        <v>7471.2872000000016</v>
      </c>
      <c r="P446" s="89"/>
      <c r="Q446" s="240"/>
      <c r="R446" s="282"/>
    </row>
    <row r="447" spans="1:18" s="90" customFormat="1" x14ac:dyDescent="0.2">
      <c r="A447" s="282"/>
      <c r="B447" s="239"/>
      <c r="C447" s="64"/>
      <c r="D447" s="117" t="s">
        <v>211</v>
      </c>
      <c r="E447" s="250"/>
      <c r="F447" s="451">
        <f>+E438+F441*E441</f>
        <v>29885.148800000003</v>
      </c>
      <c r="G447" s="454"/>
      <c r="H447" s="255">
        <f>+(F447/30)*((F445*30)/20)</f>
        <v>4482.77232</v>
      </c>
      <c r="I447" s="257">
        <v>0</v>
      </c>
      <c r="J447" s="94">
        <f>+(H445+H446+H447)*C438</f>
        <v>101609.50592000001</v>
      </c>
      <c r="K447" s="240"/>
      <c r="L447" s="239"/>
      <c r="M447" s="84"/>
      <c r="N447" s="93"/>
      <c r="O447" s="94">
        <f>H447</f>
        <v>4482.77232</v>
      </c>
      <c r="P447" s="89"/>
      <c r="Q447" s="240"/>
      <c r="R447" s="282"/>
    </row>
    <row r="448" spans="1:18" s="90" customFormat="1" x14ac:dyDescent="0.2">
      <c r="A448" s="282"/>
      <c r="B448" s="205"/>
      <c r="C448" s="64"/>
      <c r="D448" s="95"/>
      <c r="E448" s="7"/>
      <c r="F448" s="456"/>
      <c r="G448" s="457"/>
      <c r="H448" s="458"/>
      <c r="I448" s="259"/>
      <c r="J448" s="80"/>
      <c r="K448" s="206"/>
      <c r="L448" s="205"/>
      <c r="M448" s="88"/>
      <c r="N448" s="80"/>
      <c r="O448" s="80"/>
      <c r="P448" s="89"/>
      <c r="Q448" s="206"/>
      <c r="R448" s="282"/>
    </row>
    <row r="449" spans="1:18" s="90" customFormat="1" ht="15" customHeight="1" x14ac:dyDescent="0.2">
      <c r="A449" s="282"/>
      <c r="B449" s="203"/>
      <c r="C449" s="13">
        <v>2</v>
      </c>
      <c r="D449" s="266" t="s">
        <v>200</v>
      </c>
      <c r="E449" s="18">
        <v>13919.35</v>
      </c>
      <c r="F449" s="456"/>
      <c r="G449" s="472"/>
      <c r="H449" s="461"/>
      <c r="I449" s="260"/>
      <c r="J449" s="151"/>
      <c r="K449" s="204"/>
      <c r="L449" s="203"/>
      <c r="M449" s="88"/>
      <c r="N449" s="80"/>
      <c r="O449" s="80"/>
      <c r="P449" s="89"/>
      <c r="Q449" s="204"/>
      <c r="R449" s="282"/>
    </row>
    <row r="450" spans="1:18" s="90" customFormat="1" x14ac:dyDescent="0.2">
      <c r="A450" s="282"/>
      <c r="B450" s="205"/>
      <c r="C450" s="64"/>
      <c r="D450" s="76" t="s">
        <v>93</v>
      </c>
      <c r="E450" s="341" t="s">
        <v>174</v>
      </c>
      <c r="F450" s="451">
        <f>E449</f>
        <v>13919.35</v>
      </c>
      <c r="G450" s="463">
        <v>0</v>
      </c>
      <c r="H450" s="255">
        <f>+G450*F450</f>
        <v>0</v>
      </c>
      <c r="I450" s="259"/>
      <c r="J450" s="80"/>
      <c r="K450" s="206"/>
      <c r="L450" s="205"/>
      <c r="M450" s="84">
        <f>H450</f>
        <v>0</v>
      </c>
      <c r="N450" s="92"/>
      <c r="O450" s="84"/>
      <c r="P450" s="31"/>
      <c r="Q450" s="206"/>
      <c r="R450" s="282"/>
    </row>
    <row r="451" spans="1:18" s="90" customFormat="1" x14ac:dyDescent="0.2">
      <c r="A451" s="282"/>
      <c r="B451" s="205"/>
      <c r="C451" s="64"/>
      <c r="D451" s="76" t="s">
        <v>86</v>
      </c>
      <c r="E451" s="342" t="s">
        <v>174</v>
      </c>
      <c r="F451" s="451">
        <f>E449</f>
        <v>13919.35</v>
      </c>
      <c r="G451" s="463">
        <v>3</v>
      </c>
      <c r="H451" s="255">
        <f>+G451*F451</f>
        <v>41758.050000000003</v>
      </c>
      <c r="I451" s="259"/>
      <c r="J451" s="80"/>
      <c r="K451" s="206"/>
      <c r="L451" s="205"/>
      <c r="M451" s="84"/>
      <c r="N451" s="92">
        <f>H451</f>
        <v>41758.050000000003</v>
      </c>
      <c r="O451" s="84"/>
      <c r="P451" s="31"/>
      <c r="Q451" s="206"/>
      <c r="R451" s="282"/>
    </row>
    <row r="452" spans="1:18" s="90" customFormat="1" x14ac:dyDescent="0.2">
      <c r="A452" s="282"/>
      <c r="B452" s="205"/>
      <c r="C452" s="64"/>
      <c r="D452" s="76" t="s">
        <v>168</v>
      </c>
      <c r="E452" s="343">
        <v>69</v>
      </c>
      <c r="F452" s="451">
        <f>E449/150*1.5</f>
        <v>139.1935</v>
      </c>
      <c r="G452" s="463">
        <f>+F456</f>
        <v>3</v>
      </c>
      <c r="H452" s="255">
        <f>+G452*F452*E452</f>
        <v>28813.054500000002</v>
      </c>
      <c r="I452" s="259"/>
      <c r="J452" s="80"/>
      <c r="K452" s="206"/>
      <c r="L452" s="205"/>
      <c r="M452" s="84"/>
      <c r="N452" s="92">
        <f>H452</f>
        <v>28813.054500000002</v>
      </c>
      <c r="O452" s="84"/>
      <c r="P452" s="31"/>
      <c r="Q452" s="206"/>
      <c r="R452" s="282"/>
    </row>
    <row r="453" spans="1:18" s="90" customFormat="1" x14ac:dyDescent="0.2">
      <c r="A453" s="282"/>
      <c r="B453" s="205"/>
      <c r="C453" s="64"/>
      <c r="D453" s="76" t="s">
        <v>15</v>
      </c>
      <c r="E453" s="344" t="s">
        <v>130</v>
      </c>
      <c r="F453" s="451">
        <v>0</v>
      </c>
      <c r="G453" s="255">
        <f>$H$3</f>
        <v>0</v>
      </c>
      <c r="H453" s="255">
        <f>+G453*F453</f>
        <v>0</v>
      </c>
      <c r="I453" s="259"/>
      <c r="J453" s="80"/>
      <c r="K453" s="206"/>
      <c r="L453" s="205"/>
      <c r="M453" s="84"/>
      <c r="N453" s="92">
        <f>H453</f>
        <v>0</v>
      </c>
      <c r="O453" s="84"/>
      <c r="P453" s="31"/>
      <c r="Q453" s="206"/>
      <c r="R453" s="282"/>
    </row>
    <row r="454" spans="1:18" s="90" customFormat="1" x14ac:dyDescent="0.2">
      <c r="A454" s="282"/>
      <c r="B454" s="205"/>
      <c r="C454" s="64"/>
      <c r="D454" s="76" t="s">
        <v>17</v>
      </c>
      <c r="E454" s="344" t="s">
        <v>130</v>
      </c>
      <c r="F454" s="451">
        <v>0</v>
      </c>
      <c r="G454" s="255">
        <f>$H$4</f>
        <v>0</v>
      </c>
      <c r="H454" s="255">
        <f>+G454*F454</f>
        <v>0</v>
      </c>
      <c r="I454" s="259"/>
      <c r="J454" s="80"/>
      <c r="K454" s="206"/>
      <c r="L454" s="205"/>
      <c r="M454" s="84"/>
      <c r="N454" s="92">
        <f>H454</f>
        <v>0</v>
      </c>
      <c r="O454" s="84"/>
      <c r="P454" s="31"/>
      <c r="Q454" s="206"/>
      <c r="R454" s="282"/>
    </row>
    <row r="455" spans="1:18" s="90" customFormat="1" x14ac:dyDescent="0.2">
      <c r="A455" s="282"/>
      <c r="B455" s="205"/>
      <c r="C455" s="64"/>
      <c r="D455" s="76" t="s">
        <v>14</v>
      </c>
      <c r="E455" s="342" t="s">
        <v>175</v>
      </c>
      <c r="F455" s="451">
        <f>E449</f>
        <v>13919.35</v>
      </c>
      <c r="G455" s="255">
        <v>0</v>
      </c>
      <c r="H455" s="255">
        <f>+G455*F455</f>
        <v>0</v>
      </c>
      <c r="I455" s="259"/>
      <c r="J455" s="80"/>
      <c r="K455" s="206"/>
      <c r="L455" s="205"/>
      <c r="M455" s="84"/>
      <c r="N455" s="92"/>
      <c r="O455" s="84">
        <f>SUM(H455)</f>
        <v>0</v>
      </c>
      <c r="P455" s="31"/>
      <c r="Q455" s="206"/>
      <c r="R455" s="282"/>
    </row>
    <row r="456" spans="1:18" s="90" customFormat="1" x14ac:dyDescent="0.2">
      <c r="A456" s="282"/>
      <c r="B456" s="243"/>
      <c r="C456" s="64"/>
      <c r="D456" s="76" t="s">
        <v>167</v>
      </c>
      <c r="E456" s="344" t="s">
        <v>127</v>
      </c>
      <c r="F456" s="456">
        <f>+G450+G451+G455</f>
        <v>3</v>
      </c>
      <c r="G456" s="254" t="s">
        <v>153</v>
      </c>
      <c r="H456" s="255">
        <f>SUM(H450:H455)</f>
        <v>70571.104500000001</v>
      </c>
      <c r="I456" s="251"/>
      <c r="J456" s="80"/>
      <c r="K456" s="244"/>
      <c r="L456" s="243"/>
      <c r="M456" s="245"/>
      <c r="N456" s="246"/>
      <c r="O456" s="92"/>
      <c r="P456" s="31"/>
      <c r="Q456" s="244"/>
      <c r="R456" s="282"/>
    </row>
    <row r="457" spans="1:18" s="90" customFormat="1" x14ac:dyDescent="0.2">
      <c r="A457" s="282"/>
      <c r="B457" s="239"/>
      <c r="C457" s="64"/>
      <c r="D457" s="117" t="s">
        <v>152</v>
      </c>
      <c r="E457" s="344" t="s">
        <v>127</v>
      </c>
      <c r="F457" s="451">
        <f>+E449+F452*E452</f>
        <v>23523.701500000003</v>
      </c>
      <c r="G457" s="466"/>
      <c r="H457" s="255">
        <f>+((F457/2)*F456)/6</f>
        <v>5880.9253750000016</v>
      </c>
      <c r="I457" s="256"/>
      <c r="J457" s="242"/>
      <c r="K457" s="240"/>
      <c r="L457" s="239"/>
      <c r="M457" s="84"/>
      <c r="N457" s="93"/>
      <c r="O457" s="94">
        <f>H457</f>
        <v>5880.9253750000016</v>
      </c>
      <c r="P457" s="89"/>
      <c r="Q457" s="240"/>
      <c r="R457" s="282"/>
    </row>
    <row r="458" spans="1:18" s="90" customFormat="1" x14ac:dyDescent="0.2">
      <c r="A458" s="282"/>
      <c r="B458" s="239"/>
      <c r="C458" s="64"/>
      <c r="D458" s="117" t="s">
        <v>211</v>
      </c>
      <c r="E458" s="250"/>
      <c r="F458" s="451">
        <f>+E449+F452*E452</f>
        <v>23523.701500000003</v>
      </c>
      <c r="G458" s="478"/>
      <c r="H458" s="255">
        <f>+(F458/30)*((F456*30)/20)</f>
        <v>3528.5552250000005</v>
      </c>
      <c r="I458" s="257">
        <v>0</v>
      </c>
      <c r="J458" s="94">
        <f>+(H456+H457+H458)*C449</f>
        <v>159961.17020000002</v>
      </c>
      <c r="K458" s="240"/>
      <c r="L458" s="239"/>
      <c r="M458" s="84"/>
      <c r="N458" s="93"/>
      <c r="O458" s="94">
        <f>H458</f>
        <v>3528.5552250000005</v>
      </c>
      <c r="P458" s="89"/>
      <c r="Q458" s="240"/>
      <c r="R458" s="282"/>
    </row>
    <row r="459" spans="1:18" s="90" customFormat="1" x14ac:dyDescent="0.2">
      <c r="A459" s="282"/>
      <c r="B459" s="205"/>
      <c r="C459" s="64"/>
      <c r="D459" s="95"/>
      <c r="E459" s="7"/>
      <c r="F459" s="456"/>
      <c r="G459" s="457"/>
      <c r="H459" s="458"/>
      <c r="I459" s="259"/>
      <c r="J459" s="80"/>
      <c r="K459" s="206"/>
      <c r="L459" s="205"/>
      <c r="M459" s="88"/>
      <c r="N459" s="80"/>
      <c r="O459" s="80"/>
      <c r="P459" s="89"/>
      <c r="Q459" s="206"/>
      <c r="R459" s="282"/>
    </row>
    <row r="460" spans="1:18" s="90" customFormat="1" ht="29.1" customHeight="1" x14ac:dyDescent="0.2">
      <c r="A460" s="282"/>
      <c r="B460" s="403"/>
      <c r="C460" s="181">
        <f>SUM(C141:C455)</f>
        <v>34</v>
      </c>
      <c r="D460" s="95"/>
      <c r="E460" s="7"/>
      <c r="F460" s="247"/>
      <c r="G460" s="258"/>
      <c r="H460" s="32"/>
      <c r="I460" s="259"/>
      <c r="J460" s="80"/>
      <c r="K460" s="404"/>
      <c r="L460" s="403"/>
      <c r="M460" s="88"/>
      <c r="N460" s="80"/>
      <c r="O460" s="80"/>
      <c r="P460" s="89"/>
      <c r="Q460" s="404"/>
      <c r="R460" s="282"/>
    </row>
    <row r="461" spans="1:18" s="90" customFormat="1" x14ac:dyDescent="0.2">
      <c r="A461" s="282"/>
      <c r="B461" s="403"/>
      <c r="C461" s="64"/>
      <c r="D461" s="95"/>
      <c r="E461" s="7"/>
      <c r="F461" s="247"/>
      <c r="G461" s="258"/>
      <c r="H461" s="32"/>
      <c r="I461" s="259"/>
      <c r="J461" s="80"/>
      <c r="K461" s="404"/>
      <c r="L461" s="403"/>
      <c r="M461" s="88"/>
      <c r="N461" s="80"/>
      <c r="O461" s="80"/>
      <c r="P461" s="89"/>
      <c r="Q461" s="404"/>
      <c r="R461" s="282"/>
    </row>
    <row r="462" spans="1:18" s="90" customFormat="1" ht="15" customHeight="1" x14ac:dyDescent="0.2">
      <c r="A462" s="414"/>
      <c r="B462" s="367"/>
      <c r="C462" s="13"/>
      <c r="D462" s="415" t="s">
        <v>282</v>
      </c>
      <c r="E462" s="96"/>
      <c r="F462" s="85"/>
      <c r="G462" s="86"/>
      <c r="H462" s="416"/>
      <c r="I462" s="53"/>
      <c r="J462" s="53"/>
      <c r="K462" s="368"/>
      <c r="L462" s="367"/>
      <c r="M462" s="88"/>
      <c r="N462" s="80"/>
      <c r="O462" s="80"/>
      <c r="P462" s="89"/>
      <c r="Q462" s="368"/>
      <c r="R462" s="414"/>
    </row>
    <row r="463" spans="1:18" s="90" customFormat="1" ht="15" customHeight="1" x14ac:dyDescent="0.2">
      <c r="A463" s="282"/>
      <c r="B463" s="203"/>
      <c r="C463" s="13">
        <v>1</v>
      </c>
      <c r="D463" s="266" t="s">
        <v>201</v>
      </c>
      <c r="E463" s="18">
        <v>19149.900000000001</v>
      </c>
      <c r="F463" s="247"/>
      <c r="G463" s="34"/>
      <c r="H463" s="248"/>
      <c r="I463" s="260"/>
      <c r="J463" s="151"/>
      <c r="K463" s="204"/>
      <c r="L463" s="203"/>
      <c r="M463" s="88"/>
      <c r="N463" s="80"/>
      <c r="O463" s="80"/>
      <c r="P463" s="89"/>
      <c r="Q463" s="204"/>
      <c r="R463" s="282"/>
    </row>
    <row r="464" spans="1:18" s="90" customFormat="1" x14ac:dyDescent="0.2">
      <c r="A464" s="282"/>
      <c r="B464" s="205"/>
      <c r="C464" s="64"/>
      <c r="D464" s="76" t="s">
        <v>93</v>
      </c>
      <c r="E464" s="341" t="s">
        <v>174</v>
      </c>
      <c r="F464" s="250">
        <f>E463</f>
        <v>19149.900000000001</v>
      </c>
      <c r="G464" s="63">
        <v>0</v>
      </c>
      <c r="H464" s="28">
        <f>+G464*F464</f>
        <v>0</v>
      </c>
      <c r="I464" s="259"/>
      <c r="J464" s="80"/>
      <c r="K464" s="206"/>
      <c r="L464" s="205"/>
      <c r="M464" s="84">
        <f>H464</f>
        <v>0</v>
      </c>
      <c r="N464" s="92"/>
      <c r="O464" s="84"/>
      <c r="P464" s="31"/>
      <c r="Q464" s="206"/>
      <c r="R464" s="282"/>
    </row>
    <row r="465" spans="1:18" s="90" customFormat="1" x14ac:dyDescent="0.2">
      <c r="A465" s="282"/>
      <c r="B465" s="205"/>
      <c r="C465" s="64"/>
      <c r="D465" s="76" t="s">
        <v>86</v>
      </c>
      <c r="E465" s="342" t="s">
        <v>174</v>
      </c>
      <c r="F465" s="250">
        <f>E463</f>
        <v>19149.900000000001</v>
      </c>
      <c r="G465" s="63">
        <v>2</v>
      </c>
      <c r="H465" s="28">
        <f>+G465*F465</f>
        <v>38299.800000000003</v>
      </c>
      <c r="I465" s="259"/>
      <c r="J465" s="80"/>
      <c r="K465" s="206"/>
      <c r="L465" s="205"/>
      <c r="M465" s="84"/>
      <c r="N465" s="92">
        <f>H465</f>
        <v>38299.800000000003</v>
      </c>
      <c r="O465" s="84"/>
      <c r="P465" s="31"/>
      <c r="Q465" s="206"/>
      <c r="R465" s="282"/>
    </row>
    <row r="466" spans="1:18" s="90" customFormat="1" x14ac:dyDescent="0.2">
      <c r="A466" s="282"/>
      <c r="B466" s="205"/>
      <c r="C466" s="64"/>
      <c r="D466" s="76" t="s">
        <v>168</v>
      </c>
      <c r="E466" s="343">
        <v>69</v>
      </c>
      <c r="F466" s="451">
        <f>E463/150*1.5</f>
        <v>191.49900000000002</v>
      </c>
      <c r="G466" s="463">
        <f>+F470</f>
        <v>4</v>
      </c>
      <c r="H466" s="255">
        <f>+G466*F466*E466</f>
        <v>52853.724000000009</v>
      </c>
      <c r="I466" s="259"/>
      <c r="J466" s="80"/>
      <c r="K466" s="206"/>
      <c r="L466" s="205"/>
      <c r="M466" s="84"/>
      <c r="N466" s="92">
        <f>H466</f>
        <v>52853.724000000009</v>
      </c>
      <c r="O466" s="84"/>
      <c r="P466" s="31"/>
      <c r="Q466" s="206"/>
      <c r="R466" s="282"/>
    </row>
    <row r="467" spans="1:18" s="90" customFormat="1" x14ac:dyDescent="0.2">
      <c r="A467" s="282"/>
      <c r="B467" s="205"/>
      <c r="C467" s="64"/>
      <c r="D467" s="76" t="s">
        <v>15</v>
      </c>
      <c r="E467" s="344" t="s">
        <v>130</v>
      </c>
      <c r="F467" s="451">
        <v>0</v>
      </c>
      <c r="G467" s="255">
        <f>$H$3</f>
        <v>0</v>
      </c>
      <c r="H467" s="255">
        <f>+G467*F467</f>
        <v>0</v>
      </c>
      <c r="I467" s="259"/>
      <c r="J467" s="80"/>
      <c r="K467" s="206"/>
      <c r="L467" s="205"/>
      <c r="M467" s="84"/>
      <c r="N467" s="92">
        <f>H467</f>
        <v>0</v>
      </c>
      <c r="O467" s="84"/>
      <c r="P467" s="31"/>
      <c r="Q467" s="206"/>
      <c r="R467" s="282"/>
    </row>
    <row r="468" spans="1:18" s="90" customFormat="1" x14ac:dyDescent="0.2">
      <c r="A468" s="282"/>
      <c r="B468" s="205"/>
      <c r="C468" s="64"/>
      <c r="D468" s="76" t="s">
        <v>17</v>
      </c>
      <c r="E468" s="344" t="s">
        <v>130</v>
      </c>
      <c r="F468" s="451">
        <v>0</v>
      </c>
      <c r="G468" s="255">
        <f>$H$4</f>
        <v>0</v>
      </c>
      <c r="H468" s="255">
        <f>+G468*F468</f>
        <v>0</v>
      </c>
      <c r="I468" s="259"/>
      <c r="J468" s="80"/>
      <c r="K468" s="206"/>
      <c r="L468" s="205"/>
      <c r="M468" s="84"/>
      <c r="N468" s="92">
        <f>H468</f>
        <v>0</v>
      </c>
      <c r="O468" s="84"/>
      <c r="P468" s="31"/>
      <c r="Q468" s="206"/>
      <c r="R468" s="282"/>
    </row>
    <row r="469" spans="1:18" s="90" customFormat="1" x14ac:dyDescent="0.2">
      <c r="A469" s="282"/>
      <c r="B469" s="205"/>
      <c r="C469" s="64"/>
      <c r="D469" s="76" t="s">
        <v>14</v>
      </c>
      <c r="E469" s="342" t="s">
        <v>175</v>
      </c>
      <c r="F469" s="451">
        <f>E463</f>
        <v>19149.900000000001</v>
      </c>
      <c r="G469" s="463">
        <v>2</v>
      </c>
      <c r="H469" s="255">
        <f>+G469*F469</f>
        <v>38299.800000000003</v>
      </c>
      <c r="I469" s="259"/>
      <c r="J469" s="80"/>
      <c r="K469" s="206"/>
      <c r="L469" s="205"/>
      <c r="M469" s="84"/>
      <c r="N469" s="92"/>
      <c r="O469" s="84">
        <f>SUM(H469)</f>
        <v>38299.800000000003</v>
      </c>
      <c r="P469" s="31"/>
      <c r="Q469" s="206"/>
      <c r="R469" s="282"/>
    </row>
    <row r="470" spans="1:18" s="90" customFormat="1" x14ac:dyDescent="0.2">
      <c r="A470" s="282"/>
      <c r="B470" s="243"/>
      <c r="C470" s="64"/>
      <c r="D470" s="76" t="s">
        <v>167</v>
      </c>
      <c r="E470" s="344" t="s">
        <v>127</v>
      </c>
      <c r="F470" s="456">
        <f>+G464+G465+G469</f>
        <v>4</v>
      </c>
      <c r="G470" s="254" t="s">
        <v>153</v>
      </c>
      <c r="H470" s="255">
        <f>SUM(H464:H469)</f>
        <v>129453.32400000001</v>
      </c>
      <c r="I470" s="251"/>
      <c r="J470" s="80"/>
      <c r="K470" s="244"/>
      <c r="L470" s="243"/>
      <c r="M470" s="245"/>
      <c r="N470" s="246"/>
      <c r="O470" s="92"/>
      <c r="P470" s="31"/>
      <c r="Q470" s="244"/>
      <c r="R470" s="282"/>
    </row>
    <row r="471" spans="1:18" s="90" customFormat="1" x14ac:dyDescent="0.2">
      <c r="A471" s="282"/>
      <c r="B471" s="239"/>
      <c r="C471" s="64"/>
      <c r="D471" s="117" t="s">
        <v>152</v>
      </c>
      <c r="E471" s="344" t="s">
        <v>127</v>
      </c>
      <c r="F471" s="451">
        <f>+E463+F466*E466</f>
        <v>32363.331000000006</v>
      </c>
      <c r="G471" s="466"/>
      <c r="H471" s="255">
        <f>+((F471/2)*F470)/6</f>
        <v>10787.777000000002</v>
      </c>
      <c r="I471" s="256"/>
      <c r="J471" s="242"/>
      <c r="K471" s="240"/>
      <c r="L471" s="239"/>
      <c r="M471" s="84"/>
      <c r="N471" s="93"/>
      <c r="O471" s="94">
        <f>H471</f>
        <v>10787.777000000002</v>
      </c>
      <c r="P471" s="89"/>
      <c r="Q471" s="240"/>
      <c r="R471" s="282"/>
    </row>
    <row r="472" spans="1:18" s="90" customFormat="1" x14ac:dyDescent="0.2">
      <c r="A472" s="282"/>
      <c r="B472" s="239"/>
      <c r="C472" s="64"/>
      <c r="D472" s="117" t="s">
        <v>211</v>
      </c>
      <c r="E472" s="250"/>
      <c r="F472" s="451">
        <f>+E463+F466*E466</f>
        <v>32363.331000000006</v>
      </c>
      <c r="G472" s="454"/>
      <c r="H472" s="255">
        <f>+(F472/30)*((F470*30)/20)</f>
        <v>6472.6662000000006</v>
      </c>
      <c r="I472" s="257">
        <v>0</v>
      </c>
      <c r="J472" s="94">
        <f>+(H470+H471+H472)*C463</f>
        <v>146713.76720000003</v>
      </c>
      <c r="K472" s="240"/>
      <c r="L472" s="239"/>
      <c r="M472" s="84"/>
      <c r="N472" s="93"/>
      <c r="O472" s="94">
        <f>H472</f>
        <v>6472.6662000000006</v>
      </c>
      <c r="P472" s="89"/>
      <c r="Q472" s="240"/>
      <c r="R472" s="282"/>
    </row>
    <row r="473" spans="1:18" s="90" customFormat="1" x14ac:dyDescent="0.2">
      <c r="A473" s="282"/>
      <c r="B473" s="205"/>
      <c r="C473" s="64"/>
      <c r="D473" s="95"/>
      <c r="E473" s="7"/>
      <c r="F473" s="456"/>
      <c r="G473" s="457"/>
      <c r="H473" s="458"/>
      <c r="I473" s="259"/>
      <c r="J473" s="80"/>
      <c r="K473" s="206"/>
      <c r="L473" s="205"/>
      <c r="M473" s="88"/>
      <c r="N473" s="80"/>
      <c r="O473" s="80"/>
      <c r="P473" s="89"/>
      <c r="Q473" s="206"/>
      <c r="R473" s="282"/>
    </row>
    <row r="474" spans="1:18" s="90" customFormat="1" ht="15" customHeight="1" x14ac:dyDescent="0.2">
      <c r="A474" s="282"/>
      <c r="B474" s="203"/>
      <c r="C474" s="13">
        <v>2</v>
      </c>
      <c r="D474" s="266" t="s">
        <v>294</v>
      </c>
      <c r="E474" s="18">
        <v>13919.35</v>
      </c>
      <c r="F474" s="456"/>
      <c r="G474" s="472"/>
      <c r="H474" s="461"/>
      <c r="I474" s="260"/>
      <c r="J474" s="151"/>
      <c r="K474" s="204"/>
      <c r="L474" s="203"/>
      <c r="M474" s="88"/>
      <c r="N474" s="80"/>
      <c r="O474" s="80"/>
      <c r="P474" s="89"/>
      <c r="Q474" s="204"/>
      <c r="R474" s="282"/>
    </row>
    <row r="475" spans="1:18" s="90" customFormat="1" x14ac:dyDescent="0.2">
      <c r="A475" s="282"/>
      <c r="B475" s="205"/>
      <c r="C475" s="64"/>
      <c r="D475" s="76" t="s">
        <v>93</v>
      </c>
      <c r="E475" s="341" t="s">
        <v>174</v>
      </c>
      <c r="F475" s="451">
        <f>E474</f>
        <v>13919.35</v>
      </c>
      <c r="G475" s="463">
        <v>0</v>
      </c>
      <c r="H475" s="255">
        <f>+G475*F475</f>
        <v>0</v>
      </c>
      <c r="I475" s="259"/>
      <c r="J475" s="80"/>
      <c r="K475" s="206"/>
      <c r="L475" s="205"/>
      <c r="M475" s="84">
        <f>H475</f>
        <v>0</v>
      </c>
      <c r="N475" s="92"/>
      <c r="O475" s="84"/>
      <c r="P475" s="31"/>
      <c r="Q475" s="206"/>
      <c r="R475" s="282"/>
    </row>
    <row r="476" spans="1:18" s="90" customFormat="1" x14ac:dyDescent="0.2">
      <c r="A476" s="282"/>
      <c r="B476" s="205"/>
      <c r="C476" s="64"/>
      <c r="D476" s="76" t="s">
        <v>86</v>
      </c>
      <c r="E476" s="342" t="s">
        <v>174</v>
      </c>
      <c r="F476" s="451">
        <f>E474</f>
        <v>13919.35</v>
      </c>
      <c r="G476" s="463">
        <v>3</v>
      </c>
      <c r="H476" s="255">
        <f>+G476*F476</f>
        <v>41758.050000000003</v>
      </c>
      <c r="I476" s="259"/>
      <c r="J476" s="80"/>
      <c r="K476" s="206"/>
      <c r="L476" s="205"/>
      <c r="M476" s="84"/>
      <c r="N476" s="92">
        <f>H476</f>
        <v>41758.050000000003</v>
      </c>
      <c r="O476" s="84"/>
      <c r="P476" s="31"/>
      <c r="Q476" s="206"/>
      <c r="R476" s="282"/>
    </row>
    <row r="477" spans="1:18" s="90" customFormat="1" x14ac:dyDescent="0.2">
      <c r="A477" s="282"/>
      <c r="B477" s="205"/>
      <c r="C477" s="64"/>
      <c r="D477" s="76" t="s">
        <v>168</v>
      </c>
      <c r="E477" s="343">
        <v>69</v>
      </c>
      <c r="F477" s="451">
        <f>E474/150*1.5</f>
        <v>139.1935</v>
      </c>
      <c r="G477" s="463">
        <f>+F481</f>
        <v>4</v>
      </c>
      <c r="H477" s="255">
        <f>+G477*F477*E477</f>
        <v>38417.406000000003</v>
      </c>
      <c r="I477" s="259"/>
      <c r="J477" s="80"/>
      <c r="K477" s="206"/>
      <c r="L477" s="205"/>
      <c r="M477" s="84"/>
      <c r="N477" s="92">
        <f>H477</f>
        <v>38417.406000000003</v>
      </c>
      <c r="O477" s="84"/>
      <c r="P477" s="31"/>
      <c r="Q477" s="206"/>
      <c r="R477" s="282"/>
    </row>
    <row r="478" spans="1:18" s="90" customFormat="1" x14ac:dyDescent="0.2">
      <c r="A478" s="282"/>
      <c r="B478" s="205"/>
      <c r="C478" s="64"/>
      <c r="D478" s="76" t="s">
        <v>15</v>
      </c>
      <c r="E478" s="344" t="s">
        <v>130</v>
      </c>
      <c r="F478" s="451">
        <v>0</v>
      </c>
      <c r="G478" s="255">
        <f>$H$3</f>
        <v>0</v>
      </c>
      <c r="H478" s="255">
        <f>+G478*F478</f>
        <v>0</v>
      </c>
      <c r="I478" s="259"/>
      <c r="J478" s="80"/>
      <c r="K478" s="206"/>
      <c r="L478" s="205"/>
      <c r="M478" s="84"/>
      <c r="N478" s="92">
        <f>H478</f>
        <v>0</v>
      </c>
      <c r="O478" s="84"/>
      <c r="P478" s="31"/>
      <c r="Q478" s="206"/>
      <c r="R478" s="282"/>
    </row>
    <row r="479" spans="1:18" s="90" customFormat="1" x14ac:dyDescent="0.2">
      <c r="A479" s="282"/>
      <c r="B479" s="205"/>
      <c r="C479" s="64"/>
      <c r="D479" s="76" t="s">
        <v>17</v>
      </c>
      <c r="E479" s="344" t="s">
        <v>130</v>
      </c>
      <c r="F479" s="451">
        <v>0</v>
      </c>
      <c r="G479" s="255">
        <f>$H$4</f>
        <v>0</v>
      </c>
      <c r="H479" s="255">
        <f>+G479*F479</f>
        <v>0</v>
      </c>
      <c r="I479" s="259"/>
      <c r="J479" s="80"/>
      <c r="K479" s="206"/>
      <c r="L479" s="205"/>
      <c r="M479" s="84"/>
      <c r="N479" s="92">
        <f>H479</f>
        <v>0</v>
      </c>
      <c r="O479" s="84"/>
      <c r="P479" s="31"/>
      <c r="Q479" s="206"/>
      <c r="R479" s="282"/>
    </row>
    <row r="480" spans="1:18" s="90" customFormat="1" x14ac:dyDescent="0.2">
      <c r="A480" s="282"/>
      <c r="B480" s="205"/>
      <c r="C480" s="64"/>
      <c r="D480" s="76" t="s">
        <v>14</v>
      </c>
      <c r="E480" s="342" t="s">
        <v>175</v>
      </c>
      <c r="F480" s="451">
        <f>E474</f>
        <v>13919.35</v>
      </c>
      <c r="G480" s="463">
        <v>1</v>
      </c>
      <c r="H480" s="255">
        <f>+G480*F480</f>
        <v>13919.35</v>
      </c>
      <c r="I480" s="259"/>
      <c r="J480" s="80"/>
      <c r="K480" s="206"/>
      <c r="L480" s="205"/>
      <c r="M480" s="84"/>
      <c r="N480" s="92"/>
      <c r="O480" s="84">
        <f>SUM(H480)</f>
        <v>13919.35</v>
      </c>
      <c r="P480" s="31"/>
      <c r="Q480" s="206"/>
      <c r="R480" s="282"/>
    </row>
    <row r="481" spans="1:18" s="90" customFormat="1" x14ac:dyDescent="0.2">
      <c r="A481" s="282"/>
      <c r="B481" s="243"/>
      <c r="C481" s="64"/>
      <c r="D481" s="76" t="s">
        <v>167</v>
      </c>
      <c r="E481" s="344" t="s">
        <v>127</v>
      </c>
      <c r="F481" s="456">
        <f>+G475+G476+G480</f>
        <v>4</v>
      </c>
      <c r="G481" s="254" t="s">
        <v>153</v>
      </c>
      <c r="H481" s="255">
        <f>SUM(H475:H480)</f>
        <v>94094.806000000011</v>
      </c>
      <c r="I481" s="251"/>
      <c r="J481" s="80"/>
      <c r="K481" s="244"/>
      <c r="L481" s="243"/>
      <c r="M481" s="245"/>
      <c r="N481" s="246"/>
      <c r="O481" s="92"/>
      <c r="P481" s="31"/>
      <c r="Q481" s="244"/>
      <c r="R481" s="282"/>
    </row>
    <row r="482" spans="1:18" s="90" customFormat="1" x14ac:dyDescent="0.2">
      <c r="A482" s="282"/>
      <c r="B482" s="239"/>
      <c r="C482" s="64"/>
      <c r="D482" s="117" t="s">
        <v>152</v>
      </c>
      <c r="E482" s="344" t="s">
        <v>127</v>
      </c>
      <c r="F482" s="451">
        <f>+E474+F477*E477</f>
        <v>23523.701500000003</v>
      </c>
      <c r="G482" s="466"/>
      <c r="H482" s="255">
        <f>+((F482/2)*F481)/6</f>
        <v>7841.2338333333346</v>
      </c>
      <c r="I482" s="256"/>
      <c r="J482" s="242"/>
      <c r="K482" s="240"/>
      <c r="L482" s="239"/>
      <c r="M482" s="84"/>
      <c r="N482" s="93"/>
      <c r="O482" s="94">
        <f>H482</f>
        <v>7841.2338333333346</v>
      </c>
      <c r="P482" s="89"/>
      <c r="Q482" s="240"/>
      <c r="R482" s="282"/>
    </row>
    <row r="483" spans="1:18" s="90" customFormat="1" x14ac:dyDescent="0.2">
      <c r="A483" s="282"/>
      <c r="B483" s="239"/>
      <c r="C483" s="64"/>
      <c r="D483" s="117" t="s">
        <v>211</v>
      </c>
      <c r="E483" s="250"/>
      <c r="F483" s="451">
        <f>+E474+F477*E477</f>
        <v>23523.701500000003</v>
      </c>
      <c r="G483" s="454"/>
      <c r="H483" s="255">
        <f>+(F483/30)*((F481*30)/20)</f>
        <v>4704.7403000000004</v>
      </c>
      <c r="I483" s="257">
        <v>0</v>
      </c>
      <c r="J483" s="94">
        <f>+(H481+H482+H483)*C474</f>
        <v>213281.5602666667</v>
      </c>
      <c r="K483" s="240"/>
      <c r="L483" s="239"/>
      <c r="M483" s="84"/>
      <c r="N483" s="93"/>
      <c r="O483" s="94">
        <f>H483</f>
        <v>4704.7403000000004</v>
      </c>
      <c r="P483" s="89"/>
      <c r="Q483" s="240"/>
      <c r="R483" s="282"/>
    </row>
    <row r="484" spans="1:18" s="90" customFormat="1" x14ac:dyDescent="0.2">
      <c r="A484" s="282"/>
      <c r="B484" s="205"/>
      <c r="C484" s="64"/>
      <c r="D484" s="95"/>
      <c r="E484" s="7"/>
      <c r="F484" s="456"/>
      <c r="G484" s="457"/>
      <c r="H484" s="458"/>
      <c r="I484" s="259"/>
      <c r="J484" s="80"/>
      <c r="K484" s="206"/>
      <c r="L484" s="205"/>
      <c r="M484" s="88"/>
      <c r="N484" s="80"/>
      <c r="O484" s="80"/>
      <c r="P484" s="89"/>
      <c r="Q484" s="206"/>
      <c r="R484" s="282"/>
    </row>
    <row r="485" spans="1:18" s="90" customFormat="1" ht="15" customHeight="1" x14ac:dyDescent="0.2">
      <c r="A485" s="282"/>
      <c r="B485" s="203"/>
      <c r="C485" s="13">
        <v>1</v>
      </c>
      <c r="D485" s="266" t="s">
        <v>202</v>
      </c>
      <c r="E485" s="18">
        <v>13919.35</v>
      </c>
      <c r="F485" s="456"/>
      <c r="G485" s="472"/>
      <c r="H485" s="461"/>
      <c r="I485" s="260"/>
      <c r="J485" s="151"/>
      <c r="K485" s="204"/>
      <c r="L485" s="203"/>
      <c r="M485" s="88"/>
      <c r="N485" s="80"/>
      <c r="O485" s="80"/>
      <c r="P485" s="89"/>
      <c r="Q485" s="204"/>
      <c r="R485" s="282"/>
    </row>
    <row r="486" spans="1:18" s="90" customFormat="1" x14ac:dyDescent="0.2">
      <c r="A486" s="282"/>
      <c r="B486" s="243"/>
      <c r="C486" s="64"/>
      <c r="D486" s="76" t="s">
        <v>93</v>
      </c>
      <c r="E486" s="341" t="s">
        <v>174</v>
      </c>
      <c r="F486" s="451">
        <f>E485</f>
        <v>13919.35</v>
      </c>
      <c r="G486" s="463">
        <v>0</v>
      </c>
      <c r="H486" s="255">
        <f>+G486*F486</f>
        <v>0</v>
      </c>
      <c r="I486" s="259"/>
      <c r="J486" s="80"/>
      <c r="K486" s="244"/>
      <c r="L486" s="243"/>
      <c r="M486" s="84">
        <f>H486</f>
        <v>0</v>
      </c>
      <c r="N486" s="92"/>
      <c r="O486" s="84"/>
      <c r="P486" s="31"/>
      <c r="Q486" s="244"/>
      <c r="R486" s="282"/>
    </row>
    <row r="487" spans="1:18" s="90" customFormat="1" x14ac:dyDescent="0.2">
      <c r="A487" s="282"/>
      <c r="B487" s="243"/>
      <c r="C487" s="64"/>
      <c r="D487" s="76" t="s">
        <v>86</v>
      </c>
      <c r="E487" s="342" t="s">
        <v>174</v>
      </c>
      <c r="F487" s="451">
        <f>E485</f>
        <v>13919.35</v>
      </c>
      <c r="G487" s="463">
        <v>3</v>
      </c>
      <c r="H487" s="255">
        <f>+G487*F487</f>
        <v>41758.050000000003</v>
      </c>
      <c r="I487" s="259"/>
      <c r="J487" s="80"/>
      <c r="K487" s="244"/>
      <c r="L487" s="243"/>
      <c r="M487" s="84"/>
      <c r="N487" s="92">
        <f>H487</f>
        <v>41758.050000000003</v>
      </c>
      <c r="O487" s="84"/>
      <c r="P487" s="31"/>
      <c r="Q487" s="244"/>
      <c r="R487" s="282"/>
    </row>
    <row r="488" spans="1:18" s="90" customFormat="1" x14ac:dyDescent="0.2">
      <c r="A488" s="282"/>
      <c r="B488" s="243"/>
      <c r="C488" s="64"/>
      <c r="D488" s="76" t="s">
        <v>168</v>
      </c>
      <c r="E488" s="343">
        <v>69</v>
      </c>
      <c r="F488" s="451">
        <f>E485/150*1.5</f>
        <v>139.1935</v>
      </c>
      <c r="G488" s="463">
        <f>+F492</f>
        <v>5</v>
      </c>
      <c r="H488" s="255">
        <f>+G488*F488*E488</f>
        <v>48021.7575</v>
      </c>
      <c r="I488" s="259"/>
      <c r="J488" s="80"/>
      <c r="K488" s="244"/>
      <c r="L488" s="243"/>
      <c r="M488" s="84"/>
      <c r="N488" s="92">
        <f>H488</f>
        <v>48021.7575</v>
      </c>
      <c r="O488" s="84"/>
      <c r="P488" s="31"/>
      <c r="Q488" s="244"/>
      <c r="R488" s="282"/>
    </row>
    <row r="489" spans="1:18" s="90" customFormat="1" x14ac:dyDescent="0.2">
      <c r="A489" s="282"/>
      <c r="B489" s="243"/>
      <c r="C489" s="64"/>
      <c r="D489" s="76" t="s">
        <v>15</v>
      </c>
      <c r="E489" s="344" t="s">
        <v>130</v>
      </c>
      <c r="F489" s="451">
        <v>0</v>
      </c>
      <c r="G489" s="255">
        <f>$H$3</f>
        <v>0</v>
      </c>
      <c r="H489" s="255">
        <f>+G489*F489</f>
        <v>0</v>
      </c>
      <c r="I489" s="259"/>
      <c r="J489" s="80"/>
      <c r="K489" s="244"/>
      <c r="L489" s="243"/>
      <c r="M489" s="84"/>
      <c r="N489" s="92">
        <f>H489</f>
        <v>0</v>
      </c>
      <c r="O489" s="84"/>
      <c r="P489" s="31"/>
      <c r="Q489" s="244"/>
      <c r="R489" s="282"/>
    </row>
    <row r="490" spans="1:18" s="90" customFormat="1" x14ac:dyDescent="0.2">
      <c r="A490" s="282"/>
      <c r="B490" s="243"/>
      <c r="C490" s="64"/>
      <c r="D490" s="76" t="s">
        <v>17</v>
      </c>
      <c r="E490" s="344" t="s">
        <v>130</v>
      </c>
      <c r="F490" s="451">
        <v>0</v>
      </c>
      <c r="G490" s="255">
        <f>$H$4</f>
        <v>0</v>
      </c>
      <c r="H490" s="255">
        <f>+G490*F490</f>
        <v>0</v>
      </c>
      <c r="I490" s="259"/>
      <c r="J490" s="80"/>
      <c r="K490" s="244"/>
      <c r="L490" s="243"/>
      <c r="M490" s="84"/>
      <c r="N490" s="92">
        <f>H490</f>
        <v>0</v>
      </c>
      <c r="O490" s="84"/>
      <c r="P490" s="31"/>
      <c r="Q490" s="244"/>
      <c r="R490" s="282"/>
    </row>
    <row r="491" spans="1:18" s="90" customFormat="1" x14ac:dyDescent="0.2">
      <c r="A491" s="282"/>
      <c r="B491" s="243"/>
      <c r="C491" s="64"/>
      <c r="D491" s="76" t="s">
        <v>14</v>
      </c>
      <c r="E491" s="342" t="s">
        <v>175</v>
      </c>
      <c r="F491" s="451">
        <f>E485</f>
        <v>13919.35</v>
      </c>
      <c r="G491" s="463">
        <v>2</v>
      </c>
      <c r="H491" s="255">
        <f>+G491*F491</f>
        <v>27838.7</v>
      </c>
      <c r="I491" s="259"/>
      <c r="J491" s="80"/>
      <c r="K491" s="244"/>
      <c r="L491" s="243"/>
      <c r="M491" s="84"/>
      <c r="N491" s="92"/>
      <c r="O491" s="84">
        <f>SUM(H491)</f>
        <v>27838.7</v>
      </c>
      <c r="P491" s="31"/>
      <c r="Q491" s="244"/>
      <c r="R491" s="282"/>
    </row>
    <row r="492" spans="1:18" s="90" customFormat="1" x14ac:dyDescent="0.2">
      <c r="A492" s="282"/>
      <c r="B492" s="243"/>
      <c r="C492" s="64"/>
      <c r="D492" s="76" t="s">
        <v>167</v>
      </c>
      <c r="E492" s="344" t="s">
        <v>127</v>
      </c>
      <c r="F492" s="456">
        <f>+G486+G487+G491</f>
        <v>5</v>
      </c>
      <c r="G492" s="254" t="s">
        <v>153</v>
      </c>
      <c r="H492" s="255">
        <f>SUM(H486:H491)</f>
        <v>117618.50749999999</v>
      </c>
      <c r="I492" s="251"/>
      <c r="J492" s="80"/>
      <c r="K492" s="244"/>
      <c r="L492" s="243"/>
      <c r="M492" s="245"/>
      <c r="N492" s="246"/>
      <c r="O492" s="92"/>
      <c r="P492" s="31"/>
      <c r="Q492" s="244"/>
      <c r="R492" s="282"/>
    </row>
    <row r="493" spans="1:18" s="90" customFormat="1" x14ac:dyDescent="0.2">
      <c r="A493" s="282"/>
      <c r="B493" s="243"/>
      <c r="C493" s="64"/>
      <c r="D493" s="117" t="s">
        <v>152</v>
      </c>
      <c r="E493" s="344" t="s">
        <v>127</v>
      </c>
      <c r="F493" s="451">
        <f>+E485+F488*E488</f>
        <v>23523.701500000003</v>
      </c>
      <c r="G493" s="466"/>
      <c r="H493" s="255">
        <f>+((F493/2)*F492)/6</f>
        <v>9801.5422916666666</v>
      </c>
      <c r="I493" s="256"/>
      <c r="J493" s="242"/>
      <c r="K493" s="244"/>
      <c r="L493" s="243"/>
      <c r="M493" s="84"/>
      <c r="N493" s="93"/>
      <c r="O493" s="94">
        <f>H493</f>
        <v>9801.5422916666666</v>
      </c>
      <c r="P493" s="89"/>
      <c r="Q493" s="244"/>
      <c r="R493" s="282"/>
    </row>
    <row r="494" spans="1:18" s="90" customFormat="1" x14ac:dyDescent="0.2">
      <c r="A494" s="282"/>
      <c r="B494" s="243"/>
      <c r="C494" s="64"/>
      <c r="D494" s="82" t="s">
        <v>211</v>
      </c>
      <c r="E494" s="250"/>
      <c r="F494" s="451">
        <f>+E485+F488*E488</f>
        <v>23523.701500000003</v>
      </c>
      <c r="G494" s="454"/>
      <c r="H494" s="255">
        <f>+(F494/30)*((F492*30)/20)</f>
        <v>5880.9253750000007</v>
      </c>
      <c r="I494" s="257">
        <v>0</v>
      </c>
      <c r="J494" s="94">
        <f>+(H492+H493+H494)*C485</f>
        <v>133300.97516666667</v>
      </c>
      <c r="K494" s="244"/>
      <c r="L494" s="243"/>
      <c r="M494" s="84"/>
      <c r="N494" s="93"/>
      <c r="O494" s="94">
        <f>H494</f>
        <v>5880.9253750000007</v>
      </c>
      <c r="P494" s="89"/>
      <c r="Q494" s="244"/>
      <c r="R494" s="282"/>
    </row>
    <row r="495" spans="1:18" s="90" customFormat="1" x14ac:dyDescent="0.2">
      <c r="A495" s="282"/>
      <c r="B495" s="243"/>
      <c r="C495" s="64"/>
      <c r="D495" s="95"/>
      <c r="E495" s="7"/>
      <c r="F495" s="247"/>
      <c r="G495" s="258"/>
      <c r="H495" s="32"/>
      <c r="I495" s="259"/>
      <c r="J495" s="80"/>
      <c r="K495" s="244"/>
      <c r="L495" s="243"/>
      <c r="M495" s="88"/>
      <c r="N495" s="80"/>
      <c r="O495" s="80"/>
      <c r="P495" s="89"/>
      <c r="Q495" s="244"/>
      <c r="R495" s="282"/>
    </row>
    <row r="496" spans="1:18" s="51" customFormat="1" ht="21.95" customHeight="1" x14ac:dyDescent="0.2">
      <c r="A496" s="280"/>
      <c r="B496" s="197"/>
      <c r="C496" s="181">
        <f>SUM(C463:C490)</f>
        <v>4</v>
      </c>
      <c r="D496" s="144"/>
      <c r="E496" s="103"/>
      <c r="F496" s="481" t="s">
        <v>248</v>
      </c>
      <c r="G496" s="482"/>
      <c r="H496" s="381">
        <f>SUM(J94:J495)</f>
        <v>5003254.4079483338</v>
      </c>
      <c r="I496" s="382">
        <f>SUM(I105:I495)</f>
        <v>0</v>
      </c>
      <c r="J496" s="382">
        <f>SUM(J92:J495)</f>
        <v>5003254.4079483338</v>
      </c>
      <c r="K496" s="289"/>
      <c r="L496" s="288"/>
      <c r="M496" s="334">
        <v>417540</v>
      </c>
      <c r="N496" s="335">
        <v>3885605</v>
      </c>
      <c r="O496" s="336">
        <v>700109</v>
      </c>
      <c r="P496" s="338">
        <f>SUM(M496:O496)</f>
        <v>5003254</v>
      </c>
      <c r="Q496" s="198"/>
      <c r="R496" s="280"/>
    </row>
    <row r="497" spans="1:18" s="51" customFormat="1" ht="23.1" customHeight="1" x14ac:dyDescent="0.2">
      <c r="A497" s="280"/>
      <c r="B497" s="352"/>
      <c r="C497" s="181">
        <f>SUM(C496+C460+C138)</f>
        <v>42</v>
      </c>
      <c r="D497" s="144"/>
      <c r="E497" s="103"/>
      <c r="F497" s="290"/>
      <c r="G497" s="290"/>
      <c r="H497" s="291"/>
      <c r="I497" s="291"/>
      <c r="J497" s="291"/>
      <c r="K497" s="354"/>
      <c r="L497" s="352"/>
      <c r="M497" s="355"/>
      <c r="N497" s="356"/>
      <c r="O497" s="356"/>
      <c r="P497" s="357"/>
      <c r="Q497" s="354"/>
      <c r="R497" s="280"/>
    </row>
    <row r="498" spans="1:18" s="51" customFormat="1" ht="15" customHeight="1" x14ac:dyDescent="0.2">
      <c r="A498" s="280"/>
      <c r="B498" s="405"/>
      <c r="C498" s="353"/>
      <c r="D498" s="144"/>
      <c r="E498" s="103"/>
      <c r="F498" s="290"/>
      <c r="G498" s="290"/>
      <c r="H498" s="291"/>
      <c r="I498" s="291"/>
      <c r="J498" s="291"/>
      <c r="K498" s="406"/>
      <c r="L498" s="405"/>
      <c r="M498" s="355"/>
      <c r="N498" s="356"/>
      <c r="O498" s="356"/>
      <c r="P498" s="357"/>
      <c r="Q498" s="406"/>
      <c r="R498" s="280"/>
    </row>
    <row r="499" spans="1:18" s="51" customFormat="1" ht="15" customHeight="1" x14ac:dyDescent="0.2">
      <c r="A499" s="280"/>
      <c r="B499" s="405"/>
      <c r="C499" s="353"/>
      <c r="D499" s="144"/>
      <c r="E499" s="103"/>
      <c r="F499" s="290"/>
      <c r="G499" s="290"/>
      <c r="H499" s="291"/>
      <c r="I499" s="291"/>
      <c r="J499" s="291"/>
      <c r="K499" s="406"/>
      <c r="L499" s="405"/>
      <c r="M499" s="355"/>
      <c r="N499" s="356"/>
      <c r="O499" s="356"/>
      <c r="P499" s="357"/>
      <c r="Q499" s="406"/>
      <c r="R499" s="280"/>
    </row>
    <row r="500" spans="1:18" s="90" customFormat="1" ht="15" customHeight="1" x14ac:dyDescent="0.2">
      <c r="A500" s="282"/>
      <c r="B500" s="203"/>
      <c r="C500" s="13"/>
      <c r="D500" s="267" t="s">
        <v>212</v>
      </c>
      <c r="E500" s="413"/>
      <c r="F500" s="408"/>
      <c r="G500" s="409"/>
      <c r="H500" s="410"/>
      <c r="I500" s="411"/>
      <c r="J500" s="412"/>
      <c r="K500" s="204"/>
      <c r="L500" s="203"/>
      <c r="M500" s="88"/>
      <c r="N500" s="80"/>
      <c r="O500" s="80"/>
      <c r="P500" s="89"/>
      <c r="Q500" s="204"/>
      <c r="R500" s="282"/>
    </row>
    <row r="501" spans="1:18" s="90" customFormat="1" x14ac:dyDescent="0.2">
      <c r="A501" s="282"/>
      <c r="B501" s="243"/>
      <c r="C501" s="64"/>
      <c r="D501" s="76" t="s">
        <v>213</v>
      </c>
      <c r="E501" s="342" t="s">
        <v>66</v>
      </c>
      <c r="F501" s="250">
        <v>126.15</v>
      </c>
      <c r="G501" s="63">
        <f>+F501*1</f>
        <v>126.15</v>
      </c>
      <c r="H501" s="28"/>
      <c r="I501" s="259"/>
      <c r="J501" s="80"/>
      <c r="K501" s="244"/>
      <c r="L501" s="243"/>
      <c r="M501" s="84">
        <f>H501</f>
        <v>0</v>
      </c>
      <c r="N501" s="92"/>
      <c r="O501" s="84"/>
      <c r="P501" s="31"/>
      <c r="Q501" s="244"/>
      <c r="R501" s="282"/>
    </row>
    <row r="502" spans="1:18" s="90" customFormat="1" x14ac:dyDescent="0.2">
      <c r="A502" s="282"/>
      <c r="B502" s="243"/>
      <c r="C502" s="64"/>
      <c r="D502" s="76" t="s">
        <v>214</v>
      </c>
      <c r="E502" s="342" t="s">
        <v>208</v>
      </c>
      <c r="F502" s="250">
        <v>93.52</v>
      </c>
      <c r="G502" s="63">
        <f>+F502*23</f>
        <v>2150.96</v>
      </c>
      <c r="H502" s="28">
        <f>+G502*4*C497</f>
        <v>361361.28</v>
      </c>
      <c r="I502" s="259"/>
      <c r="J502" s="80"/>
      <c r="K502" s="244"/>
      <c r="L502" s="243"/>
      <c r="M502" s="84"/>
      <c r="N502" s="92">
        <f>H502</f>
        <v>361361.28</v>
      </c>
      <c r="O502" s="84"/>
      <c r="P502" s="31"/>
      <c r="Q502" s="244"/>
      <c r="R502" s="282"/>
    </row>
    <row r="503" spans="1:18" s="90" customFormat="1" x14ac:dyDescent="0.2">
      <c r="A503" s="282"/>
      <c r="B503" s="243"/>
      <c r="C503" s="64"/>
      <c r="D503" s="76" t="s">
        <v>215</v>
      </c>
      <c r="E503" s="343" t="s">
        <v>208</v>
      </c>
      <c r="F503" s="250">
        <v>30.87</v>
      </c>
      <c r="G503" s="63">
        <f>+F503*23</f>
        <v>710.01</v>
      </c>
      <c r="H503" s="28">
        <f>+G503*4*C496</f>
        <v>11360.16</v>
      </c>
      <c r="I503" s="259"/>
      <c r="J503" s="80"/>
      <c r="K503" s="244"/>
      <c r="L503" s="243"/>
      <c r="M503" s="84"/>
      <c r="N503" s="92">
        <f>H503</f>
        <v>11360.16</v>
      </c>
      <c r="O503" s="84"/>
      <c r="P503" s="31"/>
      <c r="Q503" s="244"/>
      <c r="R503" s="282"/>
    </row>
    <row r="504" spans="1:18" s="90" customFormat="1" x14ac:dyDescent="0.2">
      <c r="A504" s="282"/>
      <c r="B504" s="243"/>
      <c r="C504" s="64"/>
      <c r="D504" s="76" t="s">
        <v>216</v>
      </c>
      <c r="E504" s="344" t="s">
        <v>208</v>
      </c>
      <c r="F504" s="250">
        <v>116.47</v>
      </c>
      <c r="G504" s="63">
        <f>+F504*23</f>
        <v>2678.81</v>
      </c>
      <c r="H504" s="28">
        <f>+G504*3*C460</f>
        <v>273238.62</v>
      </c>
      <c r="I504" s="259"/>
      <c r="J504" s="80"/>
      <c r="K504" s="244"/>
      <c r="L504" s="243"/>
      <c r="M504" s="84"/>
      <c r="N504" s="92">
        <f>H504</f>
        <v>273238.62</v>
      </c>
      <c r="O504" s="84"/>
      <c r="P504" s="31"/>
      <c r="Q504" s="244"/>
      <c r="R504" s="282"/>
    </row>
    <row r="505" spans="1:18" s="90" customFormat="1" x14ac:dyDescent="0.2">
      <c r="A505" s="282"/>
      <c r="B505" s="243"/>
      <c r="C505" s="64"/>
      <c r="D505" s="76" t="s">
        <v>217</v>
      </c>
      <c r="E505" s="344" t="s">
        <v>66</v>
      </c>
      <c r="F505" s="250">
        <v>30.87</v>
      </c>
      <c r="G505" s="28"/>
      <c r="H505" s="28"/>
      <c r="I505" s="259"/>
      <c r="J505" s="80"/>
      <c r="K505" s="244"/>
      <c r="L505" s="243"/>
      <c r="M505" s="84"/>
      <c r="N505" s="92">
        <f>H505</f>
        <v>0</v>
      </c>
      <c r="O505" s="84"/>
      <c r="P505" s="31"/>
      <c r="Q505" s="244"/>
      <c r="R505" s="282"/>
    </row>
    <row r="506" spans="1:18" s="90" customFormat="1" x14ac:dyDescent="0.2">
      <c r="A506" s="282"/>
      <c r="B506" s="243"/>
      <c r="C506" s="64"/>
      <c r="D506" s="76" t="s">
        <v>218</v>
      </c>
      <c r="E506" s="342" t="s">
        <v>66</v>
      </c>
      <c r="F506" s="250">
        <v>1334.54</v>
      </c>
      <c r="G506" s="63"/>
      <c r="H506" s="28"/>
      <c r="I506" s="259"/>
      <c r="J506" s="80"/>
      <c r="K506" s="244"/>
      <c r="L506" s="243"/>
      <c r="M506" s="84"/>
      <c r="N506" s="92"/>
      <c r="O506" s="84">
        <f>SUM(H506)</f>
        <v>0</v>
      </c>
      <c r="P506" s="31"/>
      <c r="Q506" s="244"/>
      <c r="R506" s="282"/>
    </row>
    <row r="507" spans="1:18" s="90" customFormat="1" x14ac:dyDescent="0.2">
      <c r="A507" s="282"/>
      <c r="B507" s="243"/>
      <c r="C507" s="64"/>
      <c r="D507" s="76" t="s">
        <v>219</v>
      </c>
      <c r="E507" s="344" t="s">
        <v>221</v>
      </c>
      <c r="F507" s="247">
        <v>2669.09</v>
      </c>
      <c r="G507" s="254">
        <f>+C497</f>
        <v>42</v>
      </c>
      <c r="H507" s="255">
        <f>+F507*G507</f>
        <v>112101.78</v>
      </c>
      <c r="I507" s="251"/>
      <c r="J507" s="80"/>
      <c r="K507" s="244"/>
      <c r="L507" s="243"/>
      <c r="M507" s="245"/>
      <c r="N507" s="246"/>
      <c r="O507" s="92"/>
      <c r="P507" s="31"/>
      <c r="Q507" s="244"/>
      <c r="R507" s="282"/>
    </row>
    <row r="508" spans="1:18" s="90" customFormat="1" x14ac:dyDescent="0.2">
      <c r="A508" s="282"/>
      <c r="B508" s="243"/>
      <c r="C508" s="64"/>
      <c r="D508" s="117" t="s">
        <v>245</v>
      </c>
      <c r="E508" s="344" t="s">
        <v>221</v>
      </c>
      <c r="F508" s="250">
        <v>3000</v>
      </c>
      <c r="G508" s="254">
        <f>+C497</f>
        <v>42</v>
      </c>
      <c r="H508" s="358">
        <f>+F508*G508</f>
        <v>126000</v>
      </c>
      <c r="I508" s="256"/>
      <c r="J508" s="242"/>
      <c r="K508" s="244"/>
      <c r="L508" s="243"/>
      <c r="M508" s="84"/>
      <c r="N508" s="93"/>
      <c r="O508" s="94">
        <f>H508</f>
        <v>126000</v>
      </c>
      <c r="P508" s="89"/>
      <c r="Q508" s="244"/>
      <c r="R508" s="282"/>
    </row>
    <row r="509" spans="1:18" s="90" customFormat="1" x14ac:dyDescent="0.2">
      <c r="A509" s="282"/>
      <c r="B509" s="243"/>
      <c r="C509" s="64"/>
      <c r="D509" s="117" t="s">
        <v>246</v>
      </c>
      <c r="E509" s="376" t="s">
        <v>66</v>
      </c>
      <c r="F509" s="250">
        <f>+E229/150*1.5</f>
        <v>191.49900000000002</v>
      </c>
      <c r="G509" s="372">
        <v>40</v>
      </c>
      <c r="H509" s="372">
        <f>+G509*F509*10</f>
        <v>76599.600000000006</v>
      </c>
      <c r="I509" s="373">
        <v>0</v>
      </c>
      <c r="J509" s="374">
        <f>SUM(H501:H509)</f>
        <v>960661.44000000006</v>
      </c>
      <c r="K509" s="244"/>
      <c r="L509" s="243"/>
      <c r="M509" s="379"/>
      <c r="N509" s="165"/>
      <c r="O509" s="374">
        <f>H509</f>
        <v>76599.600000000006</v>
      </c>
      <c r="P509" s="89"/>
      <c r="Q509" s="244"/>
      <c r="R509" s="282"/>
    </row>
    <row r="510" spans="1:18" s="90" customFormat="1" x14ac:dyDescent="0.2">
      <c r="A510" s="282"/>
      <c r="B510" s="243"/>
      <c r="C510" s="64"/>
      <c r="D510" s="375"/>
      <c r="E510" s="18"/>
      <c r="F510" s="250"/>
      <c r="G510" s="237"/>
      <c r="H510" s="252"/>
      <c r="I510" s="257"/>
      <c r="J510" s="94"/>
      <c r="K510" s="244"/>
      <c r="L510" s="243"/>
      <c r="M510" s="84"/>
      <c r="N510" s="94"/>
      <c r="O510" s="94"/>
      <c r="P510" s="380"/>
      <c r="Q510" s="244"/>
      <c r="R510" s="282"/>
    </row>
    <row r="511" spans="1:18" s="49" customFormat="1" ht="20.100000000000001" customHeight="1" x14ac:dyDescent="0.2">
      <c r="A511" s="276"/>
      <c r="B511" s="189"/>
      <c r="C511" s="226"/>
      <c r="D511" s="6"/>
      <c r="E511" s="7"/>
      <c r="F511" s="501" t="s">
        <v>247</v>
      </c>
      <c r="G511" s="501"/>
      <c r="H511" s="381">
        <f>SUM(H501:H510)</f>
        <v>960661.44000000006</v>
      </c>
      <c r="I511" s="382">
        <f>SUM(I107:I510)</f>
        <v>0</v>
      </c>
      <c r="J511" s="382">
        <f>SUM(J501:J509)</f>
        <v>960661.44000000006</v>
      </c>
      <c r="K511" s="190"/>
      <c r="L511" s="189"/>
      <c r="M511" s="54"/>
      <c r="N511" s="54"/>
      <c r="O511" s="54"/>
      <c r="P511" s="55"/>
      <c r="Q511" s="190"/>
      <c r="R511" s="276"/>
    </row>
    <row r="512" spans="1:18" s="49" customFormat="1" ht="20.100000000000001" customHeight="1" x14ac:dyDescent="0.2">
      <c r="A512" s="276"/>
      <c r="B512" s="359"/>
      <c r="C512" s="226"/>
      <c r="D512" s="6"/>
      <c r="E512" s="7"/>
      <c r="F512" s="377"/>
      <c r="G512" s="377"/>
      <c r="H512" s="378"/>
      <c r="I512" s="378"/>
      <c r="J512" s="378"/>
      <c r="K512" s="360"/>
      <c r="L512" s="359"/>
      <c r="M512" s="54"/>
      <c r="N512" s="54"/>
      <c r="O512" s="54"/>
      <c r="P512" s="55"/>
      <c r="Q512" s="360"/>
      <c r="R512" s="276"/>
    </row>
    <row r="513" spans="1:18" s="49" customFormat="1" ht="20.100000000000001" customHeight="1" x14ac:dyDescent="0.2">
      <c r="A513" s="276"/>
      <c r="B513" s="359"/>
      <c r="C513" s="226"/>
      <c r="D513" s="6"/>
      <c r="E513" s="7"/>
      <c r="F513" s="501" t="s">
        <v>88</v>
      </c>
      <c r="G513" s="501"/>
      <c r="H513" s="381">
        <f>+H511+H496</f>
        <v>5963915.8479483342</v>
      </c>
      <c r="I513" s="382"/>
      <c r="J513" s="382">
        <f>+H513</f>
        <v>5963915.8479483342</v>
      </c>
      <c r="K513" s="360"/>
      <c r="L513" s="359"/>
      <c r="M513" s="54"/>
      <c r="N513" s="54"/>
      <c r="O513" s="54"/>
      <c r="P513" s="55"/>
      <c r="Q513" s="360"/>
      <c r="R513" s="276"/>
    </row>
    <row r="514" spans="1:18" s="49" customFormat="1" ht="30" customHeight="1" x14ac:dyDescent="0.2">
      <c r="A514" s="276"/>
      <c r="B514" s="359"/>
      <c r="C514" s="66"/>
      <c r="D514" s="6"/>
      <c r="E514" s="434"/>
      <c r="F514" s="435"/>
      <c r="G514" s="435"/>
      <c r="H514" s="436"/>
      <c r="I514" s="436"/>
      <c r="J514" s="436"/>
      <c r="K514" s="360"/>
      <c r="L514" s="359"/>
      <c r="M514" s="54"/>
      <c r="N514" s="54"/>
      <c r="O514" s="54"/>
      <c r="P514" s="55"/>
      <c r="Q514" s="360"/>
      <c r="R514" s="276"/>
    </row>
    <row r="515" spans="1:18" s="51" customFormat="1" ht="15" customHeight="1" x14ac:dyDescent="0.2">
      <c r="A515" s="280"/>
      <c r="B515" s="201"/>
      <c r="C515" s="339">
        <v>5</v>
      </c>
      <c r="D515" s="306" t="s">
        <v>308</v>
      </c>
      <c r="E515" s="328" t="s">
        <v>82</v>
      </c>
      <c r="F515" s="329" t="s">
        <v>41</v>
      </c>
      <c r="G515" s="330" t="s">
        <v>42</v>
      </c>
      <c r="H515" s="326" t="s">
        <v>58</v>
      </c>
      <c r="I515" s="331" t="s">
        <v>61</v>
      </c>
      <c r="J515" s="331" t="s">
        <v>139</v>
      </c>
      <c r="K515" s="202"/>
      <c r="L515" s="201"/>
      <c r="M515" s="332" t="s">
        <v>97</v>
      </c>
      <c r="N515" s="332" t="s">
        <v>26</v>
      </c>
      <c r="O515" s="332" t="s">
        <v>60</v>
      </c>
      <c r="P515" s="327" t="s">
        <v>58</v>
      </c>
      <c r="Q515" s="202"/>
      <c r="R515" s="280"/>
    </row>
    <row r="516" spans="1:18" s="75" customFormat="1" ht="15" customHeight="1" x14ac:dyDescent="0.2">
      <c r="A516" s="283"/>
      <c r="B516" s="273"/>
      <c r="C516" s="13">
        <v>1</v>
      </c>
      <c r="D516" s="267" t="s">
        <v>224</v>
      </c>
      <c r="E516" s="155"/>
      <c r="F516" s="98"/>
      <c r="G516" s="98"/>
      <c r="H516" s="162"/>
      <c r="I516" s="167"/>
      <c r="J516" s="156"/>
      <c r="K516" s="274"/>
      <c r="L516" s="273"/>
      <c r="M516" s="107"/>
      <c r="N516" s="108"/>
      <c r="O516" s="159"/>
      <c r="P516" s="149"/>
      <c r="Q516" s="274"/>
      <c r="R516" s="283"/>
    </row>
    <row r="517" spans="1:18" s="52" customFormat="1" x14ac:dyDescent="0.2">
      <c r="A517" s="276"/>
      <c r="B517" s="195"/>
      <c r="C517" s="68"/>
      <c r="D517" s="76"/>
      <c r="E517" s="91" t="s">
        <v>266</v>
      </c>
      <c r="F517" s="28">
        <v>43428</v>
      </c>
      <c r="G517" s="11">
        <v>3</v>
      </c>
      <c r="H517" s="28">
        <f>+G517*F517*C516</f>
        <v>130284</v>
      </c>
      <c r="I517" s="169"/>
      <c r="J517" s="80"/>
      <c r="K517" s="196"/>
      <c r="L517" s="195"/>
      <c r="M517" s="109"/>
      <c r="N517" s="34"/>
      <c r="O517" s="106"/>
      <c r="P517" s="32"/>
      <c r="Q517" s="196"/>
      <c r="R517" s="276"/>
    </row>
    <row r="518" spans="1:18" s="52" customFormat="1" x14ac:dyDescent="0.2">
      <c r="A518" s="276"/>
      <c r="B518" s="195"/>
      <c r="C518" s="68"/>
      <c r="D518" s="76"/>
      <c r="E518" s="91"/>
      <c r="F518" s="84"/>
      <c r="G518" s="11"/>
      <c r="H518" s="28">
        <f>+G518*F518</f>
        <v>0</v>
      </c>
      <c r="I518" s="170"/>
      <c r="J518" s="81"/>
      <c r="K518" s="196"/>
      <c r="L518" s="195"/>
      <c r="M518" s="110"/>
      <c r="N518" s="111"/>
      <c r="O518" s="29"/>
      <c r="P518" s="32"/>
      <c r="Q518" s="196"/>
      <c r="R518" s="276"/>
    </row>
    <row r="519" spans="1:18" s="52" customFormat="1" x14ac:dyDescent="0.2">
      <c r="A519" s="276"/>
      <c r="B519" s="345"/>
      <c r="C519" s="68"/>
      <c r="D519" s="76"/>
      <c r="E519" s="91"/>
      <c r="F519" s="84"/>
      <c r="G519" s="11"/>
      <c r="H519" s="28"/>
      <c r="I519" s="170"/>
      <c r="J519" s="81"/>
      <c r="K519" s="346"/>
      <c r="L519" s="345"/>
      <c r="M519" s="110"/>
      <c r="N519" s="111"/>
      <c r="O519" s="29"/>
      <c r="P519" s="32"/>
      <c r="Q519" s="346"/>
      <c r="R519" s="276"/>
    </row>
    <row r="520" spans="1:18" s="52" customFormat="1" x14ac:dyDescent="0.2">
      <c r="A520" s="276"/>
      <c r="B520" s="195"/>
      <c r="C520" s="67"/>
      <c r="D520" s="76"/>
      <c r="E520" s="91" t="s">
        <v>127</v>
      </c>
      <c r="F520" s="28">
        <f>SUM(F517:F519)</f>
        <v>43428</v>
      </c>
      <c r="G520" s="11">
        <f>SUM(G517:G519)</f>
        <v>3</v>
      </c>
      <c r="H520" s="28">
        <f>SUM(H517:H519)</f>
        <v>130284</v>
      </c>
      <c r="I520" s="94">
        <v>0</v>
      </c>
      <c r="J520" s="94">
        <f>+H520*C516</f>
        <v>130284</v>
      </c>
      <c r="K520" s="196"/>
      <c r="L520" s="195"/>
      <c r="M520" s="28">
        <v>0</v>
      </c>
      <c r="N520" s="28">
        <v>130284</v>
      </c>
      <c r="O520" s="28"/>
      <c r="P520" s="32"/>
      <c r="Q520" s="196"/>
      <c r="R520" s="276"/>
    </row>
    <row r="521" spans="1:18" s="75" customFormat="1" ht="15" customHeight="1" x14ac:dyDescent="0.2">
      <c r="A521" s="283"/>
      <c r="B521" s="207"/>
      <c r="C521" s="13">
        <v>8</v>
      </c>
      <c r="D521" s="267" t="s">
        <v>297</v>
      </c>
      <c r="E521" s="155"/>
      <c r="F521" s="98"/>
      <c r="G521" s="98"/>
      <c r="H521" s="162"/>
      <c r="I521" s="167"/>
      <c r="J521" s="156"/>
      <c r="K521" s="208"/>
      <c r="L521" s="207"/>
      <c r="M521" s="107"/>
      <c r="N521" s="108"/>
      <c r="O521" s="159"/>
      <c r="P521" s="149"/>
      <c r="Q521" s="208"/>
      <c r="R521" s="283"/>
    </row>
    <row r="522" spans="1:18" s="52" customFormat="1" x14ac:dyDescent="0.2">
      <c r="A522" s="276"/>
      <c r="B522" s="195"/>
      <c r="C522" s="68"/>
      <c r="D522" s="76" t="s">
        <v>205</v>
      </c>
      <c r="E522" s="91" t="s">
        <v>266</v>
      </c>
      <c r="F522" s="28">
        <v>150000</v>
      </c>
      <c r="G522" s="11">
        <v>2</v>
      </c>
      <c r="H522" s="28">
        <f>+G522*F522</f>
        <v>300000</v>
      </c>
      <c r="I522" s="169"/>
      <c r="J522" s="80"/>
      <c r="K522" s="196"/>
      <c r="L522" s="195"/>
      <c r="M522" s="109"/>
      <c r="N522" s="34"/>
      <c r="O522" s="106"/>
      <c r="P522" s="32"/>
      <c r="Q522" s="196"/>
      <c r="R522" s="276"/>
    </row>
    <row r="523" spans="1:18" s="52" customFormat="1" x14ac:dyDescent="0.2">
      <c r="A523" s="276"/>
      <c r="B523" s="195"/>
      <c r="C523" s="68"/>
      <c r="D523" s="76" t="s">
        <v>206</v>
      </c>
      <c r="E523" s="91" t="s">
        <v>266</v>
      </c>
      <c r="F523" s="84">
        <v>80000</v>
      </c>
      <c r="G523" s="11">
        <v>2</v>
      </c>
      <c r="H523" s="28">
        <f>+G523*F523</f>
        <v>160000</v>
      </c>
      <c r="I523" s="170"/>
      <c r="J523" s="81"/>
      <c r="K523" s="196"/>
      <c r="L523" s="195"/>
      <c r="M523" s="110"/>
      <c r="N523" s="111"/>
      <c r="O523" s="29"/>
      <c r="P523" s="32"/>
      <c r="Q523" s="196"/>
      <c r="R523" s="276"/>
    </row>
    <row r="524" spans="1:18" s="52" customFormat="1" x14ac:dyDescent="0.2">
      <c r="A524" s="276"/>
      <c r="B524" s="345"/>
      <c r="C524" s="68"/>
      <c r="D524" s="76" t="s">
        <v>207</v>
      </c>
      <c r="E524" s="91" t="s">
        <v>266</v>
      </c>
      <c r="F524" s="84">
        <v>50000</v>
      </c>
      <c r="G524" s="11">
        <v>4</v>
      </c>
      <c r="H524" s="28">
        <f>+G524*F524</f>
        <v>200000</v>
      </c>
      <c r="I524" s="170"/>
      <c r="J524" s="81"/>
      <c r="K524" s="346"/>
      <c r="L524" s="345"/>
      <c r="M524" s="110"/>
      <c r="N524" s="111"/>
      <c r="O524" s="29"/>
      <c r="P524" s="32"/>
      <c r="Q524" s="346"/>
      <c r="R524" s="276"/>
    </row>
    <row r="525" spans="1:18" s="52" customFormat="1" x14ac:dyDescent="0.2">
      <c r="A525" s="276"/>
      <c r="B525" s="437"/>
      <c r="C525" s="68"/>
      <c r="D525" s="76" t="s">
        <v>295</v>
      </c>
      <c r="E525" s="91" t="s">
        <v>266</v>
      </c>
      <c r="F525" s="84">
        <f>SUM(F522:F524)</f>
        <v>280000</v>
      </c>
      <c r="G525" s="113" t="s">
        <v>296</v>
      </c>
      <c r="H525" s="28">
        <f>SUM(H522:H524)</f>
        <v>660000</v>
      </c>
      <c r="I525" s="170"/>
      <c r="J525" s="81"/>
      <c r="K525" s="438"/>
      <c r="L525" s="437"/>
      <c r="M525" s="110"/>
      <c r="N525" s="111"/>
      <c r="O525" s="29"/>
      <c r="P525" s="32"/>
      <c r="Q525" s="438"/>
      <c r="R525" s="276"/>
    </row>
    <row r="526" spans="1:18" s="52" customFormat="1" x14ac:dyDescent="0.2">
      <c r="A526" s="276"/>
      <c r="B526" s="195"/>
      <c r="C526" s="67"/>
      <c r="D526" s="76" t="s">
        <v>81</v>
      </c>
      <c r="E526" s="91"/>
      <c r="F526" s="28">
        <f>+H525</f>
        <v>660000</v>
      </c>
      <c r="G526" s="11">
        <v>3</v>
      </c>
      <c r="H526" s="28">
        <f>+F526*G526</f>
        <v>1980000</v>
      </c>
      <c r="I526" s="94">
        <v>0</v>
      </c>
      <c r="J526" s="94">
        <f>+H526</f>
        <v>1980000</v>
      </c>
      <c r="K526" s="196"/>
      <c r="L526" s="195"/>
      <c r="M526" s="28">
        <v>0</v>
      </c>
      <c r="N526" s="28">
        <v>1980000</v>
      </c>
      <c r="O526" s="28"/>
      <c r="P526" s="32"/>
      <c r="Q526" s="196"/>
      <c r="R526" s="276"/>
    </row>
    <row r="527" spans="1:18" s="75" customFormat="1" ht="15" customHeight="1" x14ac:dyDescent="0.2">
      <c r="A527" s="283"/>
      <c r="B527" s="207"/>
      <c r="C527" s="68">
        <v>2</v>
      </c>
      <c r="D527" s="267" t="s">
        <v>300</v>
      </c>
      <c r="E527" s="155"/>
      <c r="F527" s="98"/>
      <c r="G527" s="98"/>
      <c r="H527" s="162"/>
      <c r="I527" s="167"/>
      <c r="J527" s="156"/>
      <c r="K527" s="208"/>
      <c r="L527" s="207"/>
      <c r="M527" s="107"/>
      <c r="N527" s="108"/>
      <c r="O527" s="159"/>
      <c r="P527" s="149"/>
      <c r="Q527" s="208"/>
      <c r="R527" s="283"/>
    </row>
    <row r="528" spans="1:18" s="52" customFormat="1" x14ac:dyDescent="0.2">
      <c r="A528" s="276"/>
      <c r="B528" s="195"/>
      <c r="C528" s="68"/>
      <c r="D528" s="76" t="s">
        <v>298</v>
      </c>
      <c r="E528" s="91" t="s">
        <v>127</v>
      </c>
      <c r="F528" s="60">
        <v>40000</v>
      </c>
      <c r="G528" s="12">
        <v>13</v>
      </c>
      <c r="H528" s="35">
        <f>+G528*F528</f>
        <v>520000</v>
      </c>
      <c r="I528" s="169"/>
      <c r="J528" s="80"/>
      <c r="K528" s="196"/>
      <c r="L528" s="195"/>
      <c r="M528" s="109"/>
      <c r="N528" s="34"/>
      <c r="O528" s="106"/>
      <c r="P528" s="32"/>
      <c r="Q528" s="196"/>
      <c r="R528" s="276"/>
    </row>
    <row r="529" spans="1:18" s="52" customFormat="1" x14ac:dyDescent="0.2">
      <c r="A529" s="276"/>
      <c r="B529" s="195"/>
      <c r="C529" s="42"/>
      <c r="D529" s="76" t="s">
        <v>299</v>
      </c>
      <c r="E529" s="91" t="s">
        <v>127</v>
      </c>
      <c r="F529" s="60">
        <v>28000</v>
      </c>
      <c r="G529" s="12">
        <v>13</v>
      </c>
      <c r="H529" s="35">
        <f>+G529*F529</f>
        <v>364000</v>
      </c>
      <c r="I529" s="169"/>
      <c r="J529" s="80"/>
      <c r="K529" s="196"/>
      <c r="L529" s="195"/>
      <c r="M529" s="109"/>
      <c r="N529" s="34"/>
      <c r="O529" s="106"/>
      <c r="P529" s="32"/>
      <c r="Q529" s="196"/>
      <c r="R529" s="276"/>
    </row>
    <row r="530" spans="1:18" s="52" customFormat="1" x14ac:dyDescent="0.2">
      <c r="A530" s="276"/>
      <c r="B530" s="195"/>
      <c r="C530" s="64"/>
      <c r="D530" s="1"/>
      <c r="E530" s="91" t="s">
        <v>127</v>
      </c>
      <c r="F530" s="28">
        <f>SUM(F528:F529)</f>
        <v>68000</v>
      </c>
      <c r="G530" s="11">
        <f>+G528</f>
        <v>13</v>
      </c>
      <c r="H530" s="28">
        <f>SUM(H528:H529)</f>
        <v>884000</v>
      </c>
      <c r="I530" s="94">
        <v>0</v>
      </c>
      <c r="J530" s="94">
        <f>+F530*G528</f>
        <v>884000</v>
      </c>
      <c r="K530" s="196"/>
      <c r="L530" s="195"/>
      <c r="M530" s="28">
        <v>0</v>
      </c>
      <c r="N530" s="28">
        <v>884000</v>
      </c>
      <c r="O530" s="28"/>
      <c r="P530" s="32"/>
      <c r="Q530" s="196"/>
      <c r="R530" s="276"/>
    </row>
    <row r="531" spans="1:18" s="75" customFormat="1" ht="15" customHeight="1" x14ac:dyDescent="0.2">
      <c r="A531" s="283"/>
      <c r="B531" s="207"/>
      <c r="C531" s="347">
        <v>4</v>
      </c>
      <c r="D531" s="267" t="s">
        <v>209</v>
      </c>
      <c r="E531" s="155"/>
      <c r="F531" s="98"/>
      <c r="G531" s="98"/>
      <c r="H531" s="162"/>
      <c r="I531" s="167"/>
      <c r="J531" s="156"/>
      <c r="K531" s="208"/>
      <c r="L531" s="207"/>
      <c r="M531" s="107"/>
      <c r="N531" s="108"/>
      <c r="O531" s="159"/>
      <c r="P531" s="149"/>
      <c r="Q531" s="208"/>
      <c r="R531" s="283"/>
    </row>
    <row r="532" spans="1:18" s="90" customFormat="1" x14ac:dyDescent="0.2">
      <c r="A532" s="282"/>
      <c r="B532" s="205"/>
      <c r="C532" s="68"/>
      <c r="D532" s="76" t="s">
        <v>301</v>
      </c>
      <c r="E532" s="78" t="s">
        <v>208</v>
      </c>
      <c r="F532" s="84">
        <v>2759</v>
      </c>
      <c r="G532" s="113">
        <v>13</v>
      </c>
      <c r="H532" s="84">
        <f>+F532*G532</f>
        <v>35867</v>
      </c>
      <c r="I532" s="169"/>
      <c r="J532" s="80"/>
      <c r="K532" s="206"/>
      <c r="L532" s="205"/>
      <c r="M532" s="114"/>
      <c r="N532" s="86"/>
      <c r="O532" s="112"/>
      <c r="P532" s="88"/>
      <c r="Q532" s="206"/>
      <c r="R532" s="282"/>
    </row>
    <row r="533" spans="1:18" s="90" customFormat="1" x14ac:dyDescent="0.2">
      <c r="A533" s="282"/>
      <c r="B533" s="205"/>
      <c r="C533" s="68"/>
      <c r="D533" s="76" t="s">
        <v>302</v>
      </c>
      <c r="E533" s="91" t="s">
        <v>208</v>
      </c>
      <c r="F533" s="84">
        <v>1828</v>
      </c>
      <c r="G533" s="113">
        <v>13</v>
      </c>
      <c r="H533" s="84">
        <f>+G533*F533</f>
        <v>23764</v>
      </c>
      <c r="I533" s="169"/>
      <c r="J533" s="80"/>
      <c r="K533" s="206"/>
      <c r="L533" s="205"/>
      <c r="M533" s="114"/>
      <c r="N533" s="86"/>
      <c r="O533" s="112"/>
      <c r="P533" s="88"/>
      <c r="Q533" s="206"/>
      <c r="R533" s="282"/>
    </row>
    <row r="534" spans="1:18" s="90" customFormat="1" x14ac:dyDescent="0.2">
      <c r="A534" s="414"/>
      <c r="B534" s="439"/>
      <c r="C534" s="68"/>
      <c r="D534" s="76" t="s">
        <v>303</v>
      </c>
      <c r="E534" s="91" t="s">
        <v>208</v>
      </c>
      <c r="F534" s="84">
        <f>SUM(F532:F533)</f>
        <v>4587</v>
      </c>
      <c r="G534" s="113">
        <v>1</v>
      </c>
      <c r="H534" s="84">
        <f>+G534*F534</f>
        <v>4587</v>
      </c>
      <c r="I534" s="169"/>
      <c r="J534" s="80"/>
      <c r="K534" s="440"/>
      <c r="L534" s="439"/>
      <c r="M534" s="114"/>
      <c r="N534" s="86"/>
      <c r="O534" s="112"/>
      <c r="P534" s="88"/>
      <c r="Q534" s="440"/>
      <c r="R534" s="414"/>
    </row>
    <row r="535" spans="1:18" s="52" customFormat="1" x14ac:dyDescent="0.2">
      <c r="A535" s="276"/>
      <c r="B535" s="195"/>
      <c r="C535" s="64"/>
      <c r="D535" s="76" t="s">
        <v>304</v>
      </c>
      <c r="E535" s="91" t="s">
        <v>127</v>
      </c>
      <c r="F535" s="28">
        <f>+H534</f>
        <v>4587</v>
      </c>
      <c r="G535" s="11">
        <f>+G532*4</f>
        <v>52</v>
      </c>
      <c r="H535" s="28">
        <f>+F535*G535</f>
        <v>238524</v>
      </c>
      <c r="I535" s="94">
        <v>0</v>
      </c>
      <c r="J535" s="94">
        <f>+F535*G532*C531</f>
        <v>238524</v>
      </c>
      <c r="K535" s="196"/>
      <c r="L535" s="195"/>
      <c r="M535" s="28">
        <v>0</v>
      </c>
      <c r="N535" s="28">
        <v>238524</v>
      </c>
      <c r="O535" s="28"/>
      <c r="P535" s="32"/>
      <c r="Q535" s="196"/>
      <c r="R535" s="276"/>
    </row>
    <row r="536" spans="1:18" s="75" customFormat="1" ht="15" customHeight="1" x14ac:dyDescent="0.2">
      <c r="A536" s="283"/>
      <c r="B536" s="207"/>
      <c r="C536" s="350">
        <f>9*13</f>
        <v>117</v>
      </c>
      <c r="D536" s="266" t="s">
        <v>305</v>
      </c>
      <c r="E536" s="155"/>
      <c r="F536" s="98"/>
      <c r="G536" s="98"/>
      <c r="H536" s="162"/>
      <c r="I536" s="167"/>
      <c r="J536" s="156"/>
      <c r="K536" s="208"/>
      <c r="L536" s="207"/>
      <c r="M536" s="107"/>
      <c r="N536" s="108"/>
      <c r="O536" s="159"/>
      <c r="P536" s="149"/>
      <c r="Q536" s="208"/>
      <c r="R536" s="283"/>
    </row>
    <row r="537" spans="1:18" s="90" customFormat="1" x14ac:dyDescent="0.2">
      <c r="A537" s="282"/>
      <c r="B537" s="205"/>
      <c r="C537" s="351"/>
      <c r="D537" s="417"/>
      <c r="E537" s="120"/>
      <c r="F537" s="87"/>
      <c r="G537" s="87"/>
      <c r="H537" s="163"/>
      <c r="I537" s="169"/>
      <c r="J537" s="80"/>
      <c r="K537" s="206"/>
      <c r="L537" s="205"/>
      <c r="M537" s="114"/>
      <c r="N537" s="86"/>
      <c r="O537" s="112"/>
      <c r="P537" s="88"/>
      <c r="Q537" s="206"/>
      <c r="R537" s="282"/>
    </row>
    <row r="538" spans="1:18" s="90" customFormat="1" x14ac:dyDescent="0.2">
      <c r="A538" s="282"/>
      <c r="B538" s="205"/>
      <c r="C538" s="351"/>
      <c r="D538" s="76" t="s">
        <v>341</v>
      </c>
      <c r="E538" s="160" t="s">
        <v>208</v>
      </c>
      <c r="F538" s="84">
        <v>681</v>
      </c>
      <c r="G538" s="84">
        <v>13</v>
      </c>
      <c r="H538" s="84">
        <f>+F538*G538*C536</f>
        <v>1035801</v>
      </c>
      <c r="I538" s="169"/>
      <c r="J538" s="80"/>
      <c r="K538" s="206"/>
      <c r="L538" s="205"/>
      <c r="M538" s="114"/>
      <c r="N538" s="86"/>
      <c r="O538" s="112"/>
      <c r="P538" s="88"/>
      <c r="Q538" s="206"/>
      <c r="R538" s="282"/>
    </row>
    <row r="539" spans="1:18" s="90" customFormat="1" x14ac:dyDescent="0.2">
      <c r="A539" s="282"/>
      <c r="B539" s="205"/>
      <c r="C539" s="351"/>
      <c r="D539" s="76" t="s">
        <v>134</v>
      </c>
      <c r="E539" s="160" t="s">
        <v>208</v>
      </c>
      <c r="F539" s="84">
        <f>170*3</f>
        <v>510</v>
      </c>
      <c r="G539" s="113">
        <v>13</v>
      </c>
      <c r="H539" s="84">
        <f>+F539*G539*C536</f>
        <v>775710</v>
      </c>
      <c r="I539" s="169"/>
      <c r="J539" s="80"/>
      <c r="K539" s="206"/>
      <c r="L539" s="205"/>
      <c r="M539" s="114"/>
      <c r="N539" s="86"/>
      <c r="O539" s="112"/>
      <c r="P539" s="88"/>
      <c r="Q539" s="206"/>
      <c r="R539" s="282"/>
    </row>
    <row r="540" spans="1:18" s="90" customFormat="1" x14ac:dyDescent="0.2">
      <c r="A540" s="414"/>
      <c r="B540" s="439"/>
      <c r="C540" s="351"/>
      <c r="D540" s="76" t="s">
        <v>306</v>
      </c>
      <c r="E540" s="160" t="s">
        <v>81</v>
      </c>
      <c r="F540" s="84">
        <f>SUM(F538:F539)</f>
        <v>1191</v>
      </c>
      <c r="G540" s="113">
        <v>1</v>
      </c>
      <c r="H540" s="84">
        <f>+G540*F540</f>
        <v>1191</v>
      </c>
      <c r="I540" s="169"/>
      <c r="J540" s="80"/>
      <c r="K540" s="440"/>
      <c r="L540" s="439"/>
      <c r="M540" s="114"/>
      <c r="N540" s="86"/>
      <c r="O540" s="112"/>
      <c r="P540" s="88"/>
      <c r="Q540" s="440"/>
      <c r="R540" s="414"/>
    </row>
    <row r="541" spans="1:18" s="90" customFormat="1" x14ac:dyDescent="0.2">
      <c r="A541" s="282"/>
      <c r="B541" s="348"/>
      <c r="C541" s="351"/>
      <c r="D541" s="97" t="s">
        <v>307</v>
      </c>
      <c r="E541" s="160" t="s">
        <v>81</v>
      </c>
      <c r="F541" s="84">
        <f>SUM(F538:F539)</f>
        <v>1191</v>
      </c>
      <c r="G541" s="113">
        <f>+C536</f>
        <v>117</v>
      </c>
      <c r="H541" s="84">
        <f>+F541*G541</f>
        <v>139347</v>
      </c>
      <c r="I541" s="169"/>
      <c r="J541" s="80"/>
      <c r="K541" s="349"/>
      <c r="L541" s="348"/>
      <c r="M541" s="114">
        <v>0</v>
      </c>
      <c r="N541" s="86">
        <v>139347</v>
      </c>
      <c r="O541" s="112"/>
      <c r="P541" s="88"/>
      <c r="Q541" s="349"/>
      <c r="R541" s="282"/>
    </row>
    <row r="542" spans="1:18" s="51" customFormat="1" ht="15" customHeight="1" x14ac:dyDescent="0.2">
      <c r="A542" s="280"/>
      <c r="B542" s="197"/>
      <c r="C542" s="181">
        <f>SUM(C516:C541)</f>
        <v>132</v>
      </c>
      <c r="D542" s="144"/>
      <c r="E542" s="103"/>
      <c r="F542" s="481" t="s">
        <v>59</v>
      </c>
      <c r="G542" s="482" t="s">
        <v>104</v>
      </c>
      <c r="H542" s="337">
        <f>SUM(H541+H535+H530+H526+H520)</f>
        <v>3372155</v>
      </c>
      <c r="I542" s="333">
        <f>SUM(I521:I541)</f>
        <v>0</v>
      </c>
      <c r="J542" s="333">
        <f>SUM(H542:I542)</f>
        <v>3372155</v>
      </c>
      <c r="K542" s="289"/>
      <c r="L542" s="288"/>
      <c r="M542" s="334">
        <f>SUM(M521:M541)</f>
        <v>0</v>
      </c>
      <c r="N542" s="335">
        <f>SUM(N518:N541)</f>
        <v>3372155</v>
      </c>
      <c r="O542" s="336">
        <f>SUM(O521:O541)</f>
        <v>0</v>
      </c>
      <c r="P542" s="338">
        <f>SUM(M542:O542)</f>
        <v>3372155</v>
      </c>
      <c r="Q542" s="198"/>
      <c r="R542" s="280"/>
    </row>
    <row r="543" spans="1:18" s="49" customFormat="1" ht="30" customHeight="1" x14ac:dyDescent="0.2">
      <c r="A543" s="276"/>
      <c r="B543" s="189"/>
      <c r="C543" s="66"/>
      <c r="D543" s="6"/>
      <c r="E543" s="7"/>
      <c r="F543" s="8"/>
      <c r="G543" s="8"/>
      <c r="H543" s="9"/>
      <c r="I543" s="50"/>
      <c r="J543" s="50"/>
      <c r="K543" s="190"/>
      <c r="L543" s="189"/>
      <c r="M543" s="54"/>
      <c r="N543" s="54"/>
      <c r="O543" s="54"/>
      <c r="P543" s="55"/>
      <c r="Q543" s="190"/>
      <c r="R543" s="276"/>
    </row>
    <row r="544" spans="1:18" s="51" customFormat="1" ht="15" customHeight="1" x14ac:dyDescent="0.2">
      <c r="A544" s="280"/>
      <c r="B544" s="201"/>
      <c r="C544" s="301">
        <v>6</v>
      </c>
      <c r="D544" s="306" t="s">
        <v>21</v>
      </c>
      <c r="E544" s="328" t="s">
        <v>82</v>
      </c>
      <c r="F544" s="329" t="s">
        <v>41</v>
      </c>
      <c r="G544" s="330" t="s">
        <v>42</v>
      </c>
      <c r="H544" s="326" t="s">
        <v>58</v>
      </c>
      <c r="I544" s="331" t="s">
        <v>61</v>
      </c>
      <c r="J544" s="331" t="s">
        <v>139</v>
      </c>
      <c r="K544" s="202"/>
      <c r="L544" s="201"/>
      <c r="M544" s="332" t="s">
        <v>97</v>
      </c>
      <c r="N544" s="332" t="s">
        <v>26</v>
      </c>
      <c r="O544" s="332" t="s">
        <v>60</v>
      </c>
      <c r="P544" s="327" t="s">
        <v>58</v>
      </c>
      <c r="Q544" s="202"/>
      <c r="R544" s="280"/>
    </row>
    <row r="545" spans="1:18" ht="15" customHeight="1" x14ac:dyDescent="0.2">
      <c r="A545" s="276"/>
      <c r="B545" s="195"/>
      <c r="C545" s="64"/>
      <c r="D545" s="268" t="s">
        <v>92</v>
      </c>
      <c r="E545" s="16">
        <v>0.28999999999999998</v>
      </c>
      <c r="F545" s="24">
        <f>+J526+J530+J535+J520</f>
        <v>3232808</v>
      </c>
      <c r="G545" s="30">
        <v>1</v>
      </c>
      <c r="H545" s="28">
        <f>E545*F545*G545</f>
        <v>937514.32</v>
      </c>
      <c r="I545" s="164">
        <v>0</v>
      </c>
      <c r="J545" s="164">
        <f>H545+I545</f>
        <v>937514.32</v>
      </c>
      <c r="K545" s="196"/>
      <c r="L545" s="195"/>
      <c r="M545" s="28">
        <f>M542*E545</f>
        <v>0</v>
      </c>
      <c r="N545" s="30">
        <v>937514</v>
      </c>
      <c r="O545" s="28"/>
      <c r="P545" s="31"/>
      <c r="Q545" s="196"/>
      <c r="R545" s="276"/>
    </row>
    <row r="546" spans="1:18" ht="15" customHeight="1" x14ac:dyDescent="0.2">
      <c r="A546" s="276"/>
      <c r="B546" s="195"/>
      <c r="C546" s="64"/>
      <c r="D546" s="268" t="s">
        <v>210</v>
      </c>
      <c r="E546" s="16">
        <v>0.28000000000000003</v>
      </c>
      <c r="F546" s="24">
        <f>+H513</f>
        <v>5963915.8479483342</v>
      </c>
      <c r="G546" s="30">
        <v>1</v>
      </c>
      <c r="H546" s="28">
        <f>E546*F546*G546</f>
        <v>1669896.4374255338</v>
      </c>
      <c r="I546" s="164">
        <v>0</v>
      </c>
      <c r="J546" s="164">
        <f>H546+I546</f>
        <v>1669896.4374255338</v>
      </c>
      <c r="K546" s="196"/>
      <c r="L546" s="195"/>
      <c r="M546" s="28">
        <f>M496*E546</f>
        <v>116911.20000000001</v>
      </c>
      <c r="N546" s="30">
        <f>N496*E546</f>
        <v>1087969.4000000001</v>
      </c>
      <c r="O546" s="28">
        <f>H546-M546-N546</f>
        <v>465015.83742553368</v>
      </c>
      <c r="P546" s="31"/>
      <c r="Q546" s="196"/>
      <c r="R546" s="276"/>
    </row>
    <row r="547" spans="1:18" ht="15" customHeight="1" x14ac:dyDescent="0.2">
      <c r="A547" s="276"/>
      <c r="B547" s="195"/>
      <c r="C547" s="64"/>
      <c r="D547" s="268" t="s">
        <v>63</v>
      </c>
      <c r="E547" s="16">
        <v>0.13</v>
      </c>
      <c r="F547" s="24">
        <v>0</v>
      </c>
      <c r="G547" s="30">
        <v>1</v>
      </c>
      <c r="H547" s="28">
        <f>E547*F547*G547</f>
        <v>0</v>
      </c>
      <c r="I547" s="164">
        <v>0</v>
      </c>
      <c r="J547" s="164">
        <f>H547+I547</f>
        <v>0</v>
      </c>
      <c r="K547" s="196"/>
      <c r="L547" s="195"/>
      <c r="M547" s="28"/>
      <c r="N547" s="30"/>
      <c r="O547" s="28">
        <f>J547</f>
        <v>0</v>
      </c>
      <c r="P547" s="31"/>
      <c r="Q547" s="196"/>
      <c r="R547" s="276"/>
    </row>
    <row r="548" spans="1:18" ht="15" customHeight="1" x14ac:dyDescent="0.2">
      <c r="A548" s="276"/>
      <c r="B548" s="195"/>
      <c r="C548" s="64"/>
      <c r="D548" s="269" t="s">
        <v>9</v>
      </c>
      <c r="E548" s="16">
        <v>0.15</v>
      </c>
      <c r="F548" s="24">
        <f>+H541</f>
        <v>139347</v>
      </c>
      <c r="G548" s="30">
        <v>1</v>
      </c>
      <c r="H548" s="28">
        <f>E548*F548*G548</f>
        <v>20902.05</v>
      </c>
      <c r="I548" s="164">
        <v>0</v>
      </c>
      <c r="J548" s="164">
        <f>H548+I548</f>
        <v>20902.05</v>
      </c>
      <c r="K548" s="196"/>
      <c r="L548" s="195"/>
      <c r="M548" s="28"/>
      <c r="N548" s="30">
        <f>H548</f>
        <v>20902.05</v>
      </c>
      <c r="O548" s="28"/>
      <c r="P548" s="31"/>
      <c r="Q548" s="196"/>
      <c r="R548" s="276"/>
    </row>
    <row r="549" spans="1:18" s="51" customFormat="1" ht="15" customHeight="1" x14ac:dyDescent="0.2">
      <c r="A549" s="280"/>
      <c r="B549" s="197"/>
      <c r="C549" s="145">
        <f>SUM(C545:C548)</f>
        <v>0</v>
      </c>
      <c r="D549" s="144"/>
      <c r="E549" s="103"/>
      <c r="F549" s="481" t="s">
        <v>47</v>
      </c>
      <c r="G549" s="482" t="s">
        <v>104</v>
      </c>
      <c r="H549" s="337">
        <f>SUM(H545:H548)</f>
        <v>2628312.8074255334</v>
      </c>
      <c r="I549" s="333">
        <f>SUM(I545:I548)</f>
        <v>0</v>
      </c>
      <c r="J549" s="333">
        <f>SUM(J545:J548)</f>
        <v>2628312.8074255334</v>
      </c>
      <c r="K549" s="289"/>
      <c r="L549" s="288"/>
      <c r="M549" s="334">
        <f>SUM(M545:M548)</f>
        <v>116911.20000000001</v>
      </c>
      <c r="N549" s="335">
        <f>SUM(N545:N548)</f>
        <v>2046385.4500000002</v>
      </c>
      <c r="O549" s="336">
        <f>SUM(O545:O548)</f>
        <v>465015.83742553368</v>
      </c>
      <c r="P549" s="338">
        <f>SUM(M549:O549)</f>
        <v>2628312.4874255341</v>
      </c>
      <c r="Q549" s="198"/>
      <c r="R549" s="280"/>
    </row>
    <row r="550" spans="1:18" s="49" customFormat="1" ht="30" customHeight="1" x14ac:dyDescent="0.2">
      <c r="A550" s="276"/>
      <c r="B550" s="189"/>
      <c r="C550" s="66"/>
      <c r="D550" s="6"/>
      <c r="E550" s="7"/>
      <c r="F550" s="8"/>
      <c r="G550" s="8"/>
      <c r="H550" s="9"/>
      <c r="I550" s="50"/>
      <c r="J550" s="50"/>
      <c r="K550" s="190"/>
      <c r="L550" s="189"/>
      <c r="M550" s="54"/>
      <c r="N550" s="54"/>
      <c r="O550" s="54"/>
      <c r="P550" s="55"/>
      <c r="Q550" s="190"/>
      <c r="R550" s="276"/>
    </row>
    <row r="551" spans="1:18" s="51" customFormat="1" ht="15" customHeight="1" x14ac:dyDescent="0.2">
      <c r="A551" s="280"/>
      <c r="B551" s="201"/>
      <c r="C551" s="301">
        <v>7</v>
      </c>
      <c r="D551" s="306" t="s">
        <v>96</v>
      </c>
      <c r="E551" s="328" t="s">
        <v>82</v>
      </c>
      <c r="F551" s="329" t="s">
        <v>41</v>
      </c>
      <c r="G551" s="330" t="s">
        <v>42</v>
      </c>
      <c r="H551" s="326" t="s">
        <v>58</v>
      </c>
      <c r="I551" s="331" t="s">
        <v>61</v>
      </c>
      <c r="J551" s="331" t="s">
        <v>139</v>
      </c>
      <c r="K551" s="202"/>
      <c r="L551" s="201"/>
      <c r="M551" s="332" t="s">
        <v>97</v>
      </c>
      <c r="N551" s="332" t="s">
        <v>26</v>
      </c>
      <c r="O551" s="332" t="s">
        <v>60</v>
      </c>
      <c r="P551" s="327" t="s">
        <v>58</v>
      </c>
      <c r="Q551" s="202"/>
      <c r="R551" s="280"/>
    </row>
    <row r="552" spans="1:18" s="75" customFormat="1" ht="15" customHeight="1" x14ac:dyDescent="0.2">
      <c r="A552" s="283"/>
      <c r="B552" s="207"/>
      <c r="C552" s="73"/>
      <c r="D552" s="267" t="s">
        <v>122</v>
      </c>
      <c r="E552" s="154"/>
      <c r="F552" s="79"/>
      <c r="G552" s="157"/>
      <c r="H552" s="28"/>
      <c r="I552" s="174"/>
      <c r="J552" s="93"/>
      <c r="K552" s="196"/>
      <c r="L552" s="195"/>
      <c r="M552" s="154"/>
      <c r="N552" s="79"/>
      <c r="O552" s="157"/>
      <c r="P552" s="119"/>
      <c r="Q552" s="208"/>
      <c r="R552" s="283"/>
    </row>
    <row r="553" spans="1:18" s="52" customFormat="1" ht="15" customHeight="1" x14ac:dyDescent="0.2">
      <c r="A553" s="276"/>
      <c r="B553" s="189"/>
      <c r="C553" s="64"/>
      <c r="D553" s="76"/>
      <c r="E553" s="91" t="s">
        <v>221</v>
      </c>
      <c r="F553" s="38">
        <v>24000</v>
      </c>
      <c r="G553" s="28">
        <v>1</v>
      </c>
      <c r="H553" s="28">
        <f>G553*F553</f>
        <v>24000</v>
      </c>
      <c r="I553" s="84">
        <f>H553*21%</f>
        <v>5040</v>
      </c>
      <c r="J553" s="84">
        <f>H553+I553</f>
        <v>29040</v>
      </c>
      <c r="K553" s="190"/>
      <c r="L553" s="189"/>
      <c r="M553" s="28">
        <f>H553*0.8</f>
        <v>19200</v>
      </c>
      <c r="N553" s="28">
        <f>H553*0.2</f>
        <v>4800</v>
      </c>
      <c r="O553" s="28"/>
      <c r="P553" s="31"/>
      <c r="Q553" s="190"/>
      <c r="R553" s="276"/>
    </row>
    <row r="554" spans="1:18" s="75" customFormat="1" ht="15" customHeight="1" x14ac:dyDescent="0.2">
      <c r="A554" s="283"/>
      <c r="B554" s="273"/>
      <c r="C554" s="73"/>
      <c r="D554" s="267" t="s">
        <v>223</v>
      </c>
      <c r="E554" s="154"/>
      <c r="F554" s="79"/>
      <c r="G554" s="157"/>
      <c r="H554" s="28"/>
      <c r="I554" s="174"/>
      <c r="J554" s="93"/>
      <c r="K554" s="196"/>
      <c r="L554" s="195"/>
      <c r="M554" s="154"/>
      <c r="N554" s="79"/>
      <c r="O554" s="157"/>
      <c r="P554" s="119"/>
      <c r="Q554" s="274"/>
      <c r="R554" s="283"/>
    </row>
    <row r="555" spans="1:18" s="52" customFormat="1" ht="15" customHeight="1" x14ac:dyDescent="0.2">
      <c r="A555" s="276"/>
      <c r="B555" s="189"/>
      <c r="C555" s="64"/>
      <c r="D555" s="76"/>
      <c r="E555" s="91" t="s">
        <v>221</v>
      </c>
      <c r="F555" s="38">
        <v>15000</v>
      </c>
      <c r="G555" s="28">
        <v>1</v>
      </c>
      <c r="H555" s="28">
        <f>G555*F555</f>
        <v>15000</v>
      </c>
      <c r="I555" s="84">
        <f>H555*21%</f>
        <v>3150</v>
      </c>
      <c r="J555" s="84">
        <f>H555+I555</f>
        <v>18150</v>
      </c>
      <c r="K555" s="190"/>
      <c r="L555" s="189"/>
      <c r="M555" s="28">
        <f>H555*0.8</f>
        <v>12000</v>
      </c>
      <c r="N555" s="28">
        <f>H555*0.2</f>
        <v>3000</v>
      </c>
      <c r="O555" s="28"/>
      <c r="P555" s="31"/>
      <c r="Q555" s="190"/>
      <c r="R555" s="276"/>
    </row>
    <row r="556" spans="1:18" s="75" customFormat="1" ht="15" customHeight="1" x14ac:dyDescent="0.2">
      <c r="A556" s="283"/>
      <c r="B556" s="207"/>
      <c r="C556" s="73"/>
      <c r="D556" s="267" t="s">
        <v>98</v>
      </c>
      <c r="E556" s="154"/>
      <c r="F556" s="79"/>
      <c r="G556" s="157"/>
      <c r="H556" s="28"/>
      <c r="I556" s="174"/>
      <c r="J556" s="93"/>
      <c r="K556" s="196"/>
      <c r="L556" s="195"/>
      <c r="M556" s="154"/>
      <c r="N556" s="79"/>
      <c r="O556" s="157"/>
      <c r="P556" s="119"/>
      <c r="Q556" s="208"/>
      <c r="R556" s="283"/>
    </row>
    <row r="557" spans="1:18" s="52" customFormat="1" ht="15" customHeight="1" x14ac:dyDescent="0.2">
      <c r="A557" s="276"/>
      <c r="B557" s="189"/>
      <c r="C557" s="64"/>
      <c r="D557" s="76"/>
      <c r="E557" s="91" t="s">
        <v>221</v>
      </c>
      <c r="F557" s="38">
        <v>9000</v>
      </c>
      <c r="G557" s="28">
        <v>1</v>
      </c>
      <c r="H557" s="28">
        <f>G557*F557</f>
        <v>9000</v>
      </c>
      <c r="I557" s="84">
        <f>H557*21%</f>
        <v>1890</v>
      </c>
      <c r="J557" s="84">
        <f>H557+I557</f>
        <v>10890</v>
      </c>
      <c r="K557" s="190"/>
      <c r="L557" s="189"/>
      <c r="M557" s="28">
        <f>H557*0.8</f>
        <v>7200</v>
      </c>
      <c r="N557" s="28">
        <f>H557*0.2</f>
        <v>1800</v>
      </c>
      <c r="O557" s="28"/>
      <c r="P557" s="31"/>
      <c r="Q557" s="190"/>
      <c r="R557" s="276"/>
    </row>
    <row r="558" spans="1:18" s="75" customFormat="1" ht="15" customHeight="1" x14ac:dyDescent="0.2">
      <c r="A558" s="283"/>
      <c r="B558" s="207"/>
      <c r="C558" s="73"/>
      <c r="D558" s="267" t="s">
        <v>23</v>
      </c>
      <c r="E558" s="154"/>
      <c r="F558" s="79"/>
      <c r="G558" s="157"/>
      <c r="H558" s="28"/>
      <c r="I558" s="174"/>
      <c r="J558" s="93"/>
      <c r="K558" s="196"/>
      <c r="L558" s="195"/>
      <c r="M558" s="154"/>
      <c r="N558" s="79"/>
      <c r="O558" s="157"/>
      <c r="P558" s="119"/>
      <c r="Q558" s="208"/>
      <c r="R558" s="283"/>
    </row>
    <row r="559" spans="1:18" s="52" customFormat="1" ht="15" customHeight="1" x14ac:dyDescent="0.2">
      <c r="A559" s="276"/>
      <c r="B559" s="189"/>
      <c r="C559" s="64"/>
      <c r="D559" s="1"/>
      <c r="E559" s="91" t="s">
        <v>221</v>
      </c>
      <c r="F559" s="38">
        <v>18000</v>
      </c>
      <c r="G559" s="28">
        <v>1</v>
      </c>
      <c r="H559" s="28">
        <f>+G559*F559</f>
        <v>18000</v>
      </c>
      <c r="I559" s="84">
        <f>H559*21%</f>
        <v>3780</v>
      </c>
      <c r="J559" s="94">
        <f>H559+I559</f>
        <v>21780</v>
      </c>
      <c r="K559" s="190"/>
      <c r="L559" s="189"/>
      <c r="M559" s="28">
        <f>H559*0.8</f>
        <v>14400</v>
      </c>
      <c r="N559" s="28">
        <f>H559*0.2</f>
        <v>3600</v>
      </c>
      <c r="O559" s="28"/>
      <c r="P559" s="31"/>
      <c r="Q559" s="190"/>
      <c r="R559" s="276"/>
    </row>
    <row r="560" spans="1:18" s="75" customFormat="1" ht="15" customHeight="1" x14ac:dyDescent="0.2">
      <c r="A560" s="283"/>
      <c r="B560" s="207"/>
      <c r="C560" s="73"/>
      <c r="D560" s="267" t="s">
        <v>99</v>
      </c>
      <c r="E560" s="154"/>
      <c r="F560" s="79"/>
      <c r="G560" s="157"/>
      <c r="H560" s="28"/>
      <c r="I560" s="174"/>
      <c r="J560" s="93"/>
      <c r="K560" s="196"/>
      <c r="L560" s="195"/>
      <c r="M560" s="154"/>
      <c r="N560" s="79"/>
      <c r="O560" s="157"/>
      <c r="P560" s="119"/>
      <c r="Q560" s="208"/>
      <c r="R560" s="283"/>
    </row>
    <row r="561" spans="1:18" s="52" customFormat="1" ht="15" customHeight="1" x14ac:dyDescent="0.2">
      <c r="A561" s="276"/>
      <c r="B561" s="189"/>
      <c r="C561" s="64"/>
      <c r="D561" s="15" t="s">
        <v>67</v>
      </c>
      <c r="E561" s="91" t="s">
        <v>221</v>
      </c>
      <c r="F561" s="38">
        <v>9000</v>
      </c>
      <c r="G561" s="28">
        <v>1</v>
      </c>
      <c r="H561" s="28">
        <f>F561*G561</f>
        <v>9000</v>
      </c>
      <c r="I561" s="94">
        <f>+H561*21%</f>
        <v>1890</v>
      </c>
      <c r="J561" s="94">
        <f>H561+I561</f>
        <v>10890</v>
      </c>
      <c r="K561" s="190"/>
      <c r="L561" s="189"/>
      <c r="M561" s="28"/>
      <c r="N561" s="28">
        <f>H561*0.5</f>
        <v>4500</v>
      </c>
      <c r="O561" s="28">
        <f>H561-N561</f>
        <v>4500</v>
      </c>
      <c r="P561" s="31"/>
      <c r="Q561" s="190"/>
      <c r="R561" s="276"/>
    </row>
    <row r="562" spans="1:18" s="75" customFormat="1" ht="15" customHeight="1" x14ac:dyDescent="0.2">
      <c r="A562" s="283"/>
      <c r="B562" s="207"/>
      <c r="C562" s="73"/>
      <c r="D562" s="267" t="s">
        <v>72</v>
      </c>
      <c r="E562" s="154"/>
      <c r="F562" s="79"/>
      <c r="G562" s="157"/>
      <c r="H562" s="28"/>
      <c r="I562" s="174"/>
      <c r="J562" s="93"/>
      <c r="K562" s="196"/>
      <c r="L562" s="195"/>
      <c r="M562" s="154"/>
      <c r="N562" s="79"/>
      <c r="O562" s="157"/>
      <c r="P562" s="119"/>
      <c r="Q562" s="208"/>
      <c r="R562" s="283"/>
    </row>
    <row r="563" spans="1:18" s="52" customFormat="1" ht="15" customHeight="1" x14ac:dyDescent="0.2">
      <c r="A563" s="276"/>
      <c r="B563" s="189"/>
      <c r="C563" s="64"/>
      <c r="D563" s="1" t="s">
        <v>64</v>
      </c>
      <c r="E563" s="10" t="s">
        <v>22</v>
      </c>
      <c r="F563" s="38">
        <v>0</v>
      </c>
      <c r="G563" s="28">
        <v>1</v>
      </c>
      <c r="H563" s="28">
        <f>F563*G563</f>
        <v>0</v>
      </c>
      <c r="I563" s="84">
        <f>H563*21%</f>
        <v>0</v>
      </c>
      <c r="J563" s="84">
        <f>H563+I563</f>
        <v>0</v>
      </c>
      <c r="K563" s="190"/>
      <c r="L563" s="189"/>
      <c r="M563" s="28"/>
      <c r="N563" s="28"/>
      <c r="O563" s="28"/>
      <c r="P563" s="31"/>
      <c r="Q563" s="190"/>
      <c r="R563" s="276"/>
    </row>
    <row r="564" spans="1:18" s="52" customFormat="1" ht="15" customHeight="1" x14ac:dyDescent="0.2">
      <c r="A564" s="276"/>
      <c r="B564" s="189"/>
      <c r="C564" s="64"/>
      <c r="D564" s="97" t="s">
        <v>126</v>
      </c>
      <c r="E564" s="91" t="s">
        <v>221</v>
      </c>
      <c r="F564" s="38">
        <v>5000</v>
      </c>
      <c r="G564" s="28">
        <v>1</v>
      </c>
      <c r="H564" s="28">
        <f>G564*F564</f>
        <v>5000</v>
      </c>
      <c r="I564" s="84">
        <f>H564*21%</f>
        <v>1050</v>
      </c>
      <c r="J564" s="84">
        <f>H564+I564</f>
        <v>6050</v>
      </c>
      <c r="K564" s="190"/>
      <c r="L564" s="189"/>
      <c r="M564" s="28">
        <f>H564*0.8</f>
        <v>4000</v>
      </c>
      <c r="N564" s="28">
        <f>H564*0.2</f>
        <v>1000</v>
      </c>
      <c r="O564" s="28"/>
      <c r="P564" s="31"/>
      <c r="Q564" s="190"/>
      <c r="R564" s="276"/>
    </row>
    <row r="565" spans="1:18" s="51" customFormat="1" ht="15" customHeight="1" x14ac:dyDescent="0.2">
      <c r="A565" s="280"/>
      <c r="B565" s="197"/>
      <c r="C565" s="145">
        <f>SUM(C552:C564)</f>
        <v>0</v>
      </c>
      <c r="D565" s="144"/>
      <c r="E565" s="103"/>
      <c r="F565" s="481" t="s">
        <v>85</v>
      </c>
      <c r="G565" s="482"/>
      <c r="H565" s="337">
        <f>SUM(H553:H564)</f>
        <v>80000</v>
      </c>
      <c r="I565" s="333">
        <f>SUM(I552:I564)</f>
        <v>16800</v>
      </c>
      <c r="J565" s="333">
        <f>SUM(J552:J564)</f>
        <v>96800</v>
      </c>
      <c r="K565" s="289"/>
      <c r="L565" s="288"/>
      <c r="M565" s="334">
        <f>SUM(M550:M564)</f>
        <v>56800</v>
      </c>
      <c r="N565" s="335">
        <f>SUM(N550:N564)</f>
        <v>18700</v>
      </c>
      <c r="O565" s="336">
        <f>SUM(O550:O564)</f>
        <v>4500</v>
      </c>
      <c r="P565" s="338">
        <f>SUM(M565:O565)</f>
        <v>80000</v>
      </c>
      <c r="Q565" s="198"/>
      <c r="R565" s="280"/>
    </row>
    <row r="566" spans="1:18" s="49" customFormat="1" ht="30" customHeight="1" x14ac:dyDescent="0.2">
      <c r="A566" s="276"/>
      <c r="B566" s="189"/>
      <c r="C566" s="66"/>
      <c r="D566" s="6"/>
      <c r="E566" s="7"/>
      <c r="F566" s="8"/>
      <c r="G566" s="8"/>
      <c r="H566" s="9"/>
      <c r="I566" s="50"/>
      <c r="J566" s="50"/>
      <c r="K566" s="190"/>
      <c r="L566" s="189"/>
      <c r="M566" s="54"/>
      <c r="N566" s="54"/>
      <c r="O566" s="54"/>
      <c r="P566" s="55"/>
      <c r="Q566" s="190"/>
      <c r="R566" s="276"/>
    </row>
    <row r="567" spans="1:18" s="51" customFormat="1" ht="15" customHeight="1" x14ac:dyDescent="0.2">
      <c r="A567" s="280"/>
      <c r="B567" s="201"/>
      <c r="C567" s="301">
        <v>8</v>
      </c>
      <c r="D567" s="306" t="s">
        <v>103</v>
      </c>
      <c r="E567" s="328" t="s">
        <v>82</v>
      </c>
      <c r="F567" s="329" t="s">
        <v>41</v>
      </c>
      <c r="G567" s="330" t="s">
        <v>42</v>
      </c>
      <c r="H567" s="326" t="s">
        <v>58</v>
      </c>
      <c r="I567" s="331" t="s">
        <v>61</v>
      </c>
      <c r="J567" s="331" t="s">
        <v>139</v>
      </c>
      <c r="K567" s="202"/>
      <c r="L567" s="201"/>
      <c r="M567" s="332" t="s">
        <v>97</v>
      </c>
      <c r="N567" s="332" t="s">
        <v>26</v>
      </c>
      <c r="O567" s="332" t="s">
        <v>60</v>
      </c>
      <c r="P567" s="327" t="s">
        <v>58</v>
      </c>
      <c r="Q567" s="202"/>
      <c r="R567" s="280"/>
    </row>
    <row r="568" spans="1:18" s="52" customFormat="1" ht="15" customHeight="1" x14ac:dyDescent="0.2">
      <c r="A568" s="276"/>
      <c r="B568" s="189"/>
      <c r="C568" s="65"/>
      <c r="D568" s="264" t="s">
        <v>53</v>
      </c>
      <c r="E568" s="91" t="s">
        <v>221</v>
      </c>
      <c r="F568" s="38">
        <v>20000</v>
      </c>
      <c r="G568" s="28">
        <v>1</v>
      </c>
      <c r="H568" s="28">
        <f>G568*F568</f>
        <v>20000</v>
      </c>
      <c r="I568" s="84">
        <f>H568*21%</f>
        <v>4200</v>
      </c>
      <c r="J568" s="84">
        <f>H568+I568</f>
        <v>24200</v>
      </c>
      <c r="K568" s="190"/>
      <c r="L568" s="189"/>
      <c r="M568" s="28">
        <f>H568*80%</f>
        <v>16000</v>
      </c>
      <c r="N568" s="28">
        <f>H568*20%</f>
        <v>4000</v>
      </c>
      <c r="O568" s="28"/>
      <c r="P568" s="31"/>
      <c r="Q568" s="190"/>
      <c r="R568" s="276"/>
    </row>
    <row r="569" spans="1:18" s="52" customFormat="1" ht="15" customHeight="1" x14ac:dyDescent="0.2">
      <c r="A569" s="276"/>
      <c r="B569" s="189"/>
      <c r="C569" s="65"/>
      <c r="D569" s="264" t="s">
        <v>24</v>
      </c>
      <c r="E569" s="91" t="s">
        <v>127</v>
      </c>
      <c r="F569" s="38">
        <v>0</v>
      </c>
      <c r="G569" s="28">
        <v>1</v>
      </c>
      <c r="H569" s="28">
        <f>G569*F569</f>
        <v>0</v>
      </c>
      <c r="I569" s="84">
        <v>0</v>
      </c>
      <c r="J569" s="84">
        <f>H569+I569</f>
        <v>0</v>
      </c>
      <c r="K569" s="190"/>
      <c r="L569" s="189"/>
      <c r="M569" s="28"/>
      <c r="N569" s="28"/>
      <c r="O569" s="28"/>
      <c r="P569" s="31"/>
      <c r="Q569" s="190"/>
      <c r="R569" s="276"/>
    </row>
    <row r="570" spans="1:18" s="75" customFormat="1" ht="15" customHeight="1" x14ac:dyDescent="0.2">
      <c r="A570" s="283"/>
      <c r="B570" s="207"/>
      <c r="C570" s="73"/>
      <c r="D570" s="267" t="s">
        <v>268</v>
      </c>
      <c r="E570" s="154"/>
      <c r="F570" s="79"/>
      <c r="G570" s="157"/>
      <c r="H570" s="28"/>
      <c r="I570" s="174"/>
      <c r="J570" s="93"/>
      <c r="K570" s="196"/>
      <c r="L570" s="195"/>
      <c r="M570" s="154"/>
      <c r="N570" s="79"/>
      <c r="O570" s="157"/>
      <c r="P570" s="119"/>
      <c r="Q570" s="208"/>
      <c r="R570" s="283"/>
    </row>
    <row r="571" spans="1:18" s="52" customFormat="1" ht="15" x14ac:dyDescent="0.2">
      <c r="A571" s="276"/>
      <c r="B571" s="189"/>
      <c r="C571" s="65"/>
      <c r="D571" s="76" t="s">
        <v>265</v>
      </c>
      <c r="E571" s="78" t="s">
        <v>266</v>
      </c>
      <c r="F571" s="38">
        <v>3500</v>
      </c>
      <c r="G571" s="28">
        <v>2</v>
      </c>
      <c r="H571" s="28">
        <f>+G571*F571</f>
        <v>7000</v>
      </c>
      <c r="I571" s="84">
        <f>+H571*21%</f>
        <v>1470</v>
      </c>
      <c r="J571" s="84">
        <f>H571+I571</f>
        <v>8470</v>
      </c>
      <c r="K571" s="190"/>
      <c r="L571" s="189"/>
      <c r="M571" s="28"/>
      <c r="N571" s="28">
        <f>H571</f>
        <v>7000</v>
      </c>
      <c r="O571" s="28"/>
      <c r="P571" s="31"/>
      <c r="Q571" s="190"/>
      <c r="R571" s="276"/>
    </row>
    <row r="572" spans="1:18" s="52" customFormat="1" ht="15" x14ac:dyDescent="0.2">
      <c r="A572" s="276"/>
      <c r="B572" s="189"/>
      <c r="C572" s="65"/>
      <c r="D572" s="76" t="s">
        <v>267</v>
      </c>
      <c r="E572" s="78" t="s">
        <v>266</v>
      </c>
      <c r="F572" s="38">
        <v>3500</v>
      </c>
      <c r="G572" s="28">
        <v>2</v>
      </c>
      <c r="H572" s="28">
        <f>+G572*F572</f>
        <v>7000</v>
      </c>
      <c r="I572" s="84">
        <f>+H572*21%</f>
        <v>1470</v>
      </c>
      <c r="J572" s="84">
        <f>H572+I572</f>
        <v>8470</v>
      </c>
      <c r="K572" s="190"/>
      <c r="L572" s="189"/>
      <c r="M572" s="28"/>
      <c r="N572" s="28">
        <f>H572</f>
        <v>7000</v>
      </c>
      <c r="O572" s="28"/>
      <c r="P572" s="31"/>
      <c r="Q572" s="190"/>
      <c r="R572" s="276"/>
    </row>
    <row r="573" spans="1:18" s="52" customFormat="1" ht="15" customHeight="1" x14ac:dyDescent="0.2">
      <c r="A573" s="276"/>
      <c r="B573" s="189"/>
      <c r="C573" s="65"/>
      <c r="D573" s="264" t="s">
        <v>137</v>
      </c>
      <c r="E573" s="18" t="s">
        <v>43</v>
      </c>
      <c r="F573" s="38">
        <v>0</v>
      </c>
      <c r="G573" s="28">
        <v>0</v>
      </c>
      <c r="H573" s="28">
        <f>G573*F573</f>
        <v>0</v>
      </c>
      <c r="I573" s="84">
        <f>+H573*21%</f>
        <v>0</v>
      </c>
      <c r="J573" s="84">
        <f>H573+I573</f>
        <v>0</v>
      </c>
      <c r="K573" s="190"/>
      <c r="L573" s="189"/>
      <c r="M573" s="28"/>
      <c r="N573" s="28">
        <f>J573</f>
        <v>0</v>
      </c>
      <c r="O573" s="28"/>
      <c r="P573" s="31"/>
      <c r="Q573" s="190"/>
      <c r="R573" s="276"/>
    </row>
    <row r="574" spans="1:18" s="51" customFormat="1" ht="15" customHeight="1" x14ac:dyDescent="0.2">
      <c r="A574" s="280"/>
      <c r="B574" s="197"/>
      <c r="C574" s="145">
        <f>SUM(C568:C573)</f>
        <v>0</v>
      </c>
      <c r="D574" s="144"/>
      <c r="E574" s="103"/>
      <c r="F574" s="481" t="s">
        <v>111</v>
      </c>
      <c r="G574" s="482"/>
      <c r="H574" s="337">
        <f>SUM(H568:H573)</f>
        <v>34000</v>
      </c>
      <c r="I574" s="333">
        <f>SUM(I568:I573)</f>
        <v>7140</v>
      </c>
      <c r="J574" s="333">
        <f>SUM(J568:J573)</f>
        <v>41140</v>
      </c>
      <c r="K574" s="289"/>
      <c r="L574" s="288"/>
      <c r="M574" s="334">
        <f>SUM(M568:M573)</f>
        <v>16000</v>
      </c>
      <c r="N574" s="335">
        <f>SUM(N568:N573)</f>
        <v>18000</v>
      </c>
      <c r="O574" s="336">
        <f>SUM(O568:O573)</f>
        <v>0</v>
      </c>
      <c r="P574" s="338">
        <f>SUM(M574:O574)</f>
        <v>34000</v>
      </c>
      <c r="Q574" s="198"/>
      <c r="R574" s="280"/>
    </row>
    <row r="575" spans="1:18" s="49" customFormat="1" ht="30" customHeight="1" x14ac:dyDescent="0.2">
      <c r="A575" s="276"/>
      <c r="B575" s="189"/>
      <c r="C575" s="66"/>
      <c r="D575" s="6"/>
      <c r="E575" s="7"/>
      <c r="F575" s="8"/>
      <c r="G575" s="8"/>
      <c r="H575" s="9"/>
      <c r="I575" s="50"/>
      <c r="J575" s="50"/>
      <c r="K575" s="190"/>
      <c r="L575" s="189"/>
      <c r="M575" s="54"/>
      <c r="N575" s="54"/>
      <c r="O575" s="54"/>
      <c r="P575" s="55"/>
      <c r="Q575" s="190"/>
      <c r="R575" s="276"/>
    </row>
    <row r="576" spans="1:18" s="51" customFormat="1" ht="15" customHeight="1" x14ac:dyDescent="0.2">
      <c r="A576" s="280"/>
      <c r="B576" s="201"/>
      <c r="C576" s="301">
        <v>9</v>
      </c>
      <c r="D576" s="306" t="s">
        <v>220</v>
      </c>
      <c r="E576" s="328" t="s">
        <v>82</v>
      </c>
      <c r="F576" s="329" t="s">
        <v>41</v>
      </c>
      <c r="G576" s="330" t="s">
        <v>42</v>
      </c>
      <c r="H576" s="326" t="s">
        <v>58</v>
      </c>
      <c r="I576" s="331" t="s">
        <v>61</v>
      </c>
      <c r="J576" s="331" t="s">
        <v>139</v>
      </c>
      <c r="K576" s="202"/>
      <c r="L576" s="201"/>
      <c r="M576" s="332" t="s">
        <v>97</v>
      </c>
      <c r="N576" s="332" t="s">
        <v>26</v>
      </c>
      <c r="O576" s="332" t="s">
        <v>60</v>
      </c>
      <c r="P576" s="327" t="s">
        <v>58</v>
      </c>
      <c r="Q576" s="202"/>
      <c r="R576" s="280"/>
    </row>
    <row r="577" spans="1:18" s="52" customFormat="1" ht="15" customHeight="1" x14ac:dyDescent="0.2">
      <c r="A577" s="276"/>
      <c r="B577" s="189"/>
      <c r="C577" s="65"/>
      <c r="D577" s="264" t="s">
        <v>226</v>
      </c>
      <c r="E577" s="91" t="s">
        <v>222</v>
      </c>
      <c r="F577" s="38">
        <v>10000</v>
      </c>
      <c r="G577" s="28">
        <v>13</v>
      </c>
      <c r="H577" s="28">
        <f>F577*G577</f>
        <v>130000</v>
      </c>
      <c r="I577" s="84">
        <f>H577*21%</f>
        <v>27300</v>
      </c>
      <c r="J577" s="84">
        <f>H577+I577</f>
        <v>157300</v>
      </c>
      <c r="K577" s="190"/>
      <c r="L577" s="189"/>
      <c r="M577" s="28">
        <f>H577*50%</f>
        <v>65000</v>
      </c>
      <c r="N577" s="28">
        <f>H577*50%</f>
        <v>65000</v>
      </c>
      <c r="O577" s="28"/>
      <c r="P577" s="31"/>
      <c r="Q577" s="190"/>
      <c r="R577" s="276"/>
    </row>
    <row r="578" spans="1:18" s="52" customFormat="1" ht="15" customHeight="1" x14ac:dyDescent="0.2">
      <c r="A578" s="276"/>
      <c r="B578" s="189"/>
      <c r="C578" s="65"/>
      <c r="D578" s="264" t="s">
        <v>23</v>
      </c>
      <c r="E578" s="91" t="s">
        <v>222</v>
      </c>
      <c r="F578" s="38">
        <v>10000</v>
      </c>
      <c r="G578" s="28">
        <v>13</v>
      </c>
      <c r="H578" s="28">
        <f>F578*G578</f>
        <v>130000</v>
      </c>
      <c r="I578" s="84">
        <f>H578*21%</f>
        <v>27300</v>
      </c>
      <c r="J578" s="84">
        <f>H578+I578</f>
        <v>157300</v>
      </c>
      <c r="K578" s="190"/>
      <c r="L578" s="189"/>
      <c r="M578" s="28">
        <f>H578*0.8</f>
        <v>104000</v>
      </c>
      <c r="N578" s="28">
        <f>H578*0.2</f>
        <v>26000</v>
      </c>
      <c r="O578" s="28"/>
      <c r="P578" s="31"/>
      <c r="Q578" s="190"/>
      <c r="R578" s="276"/>
    </row>
    <row r="579" spans="1:18" s="52" customFormat="1" ht="15" customHeight="1" x14ac:dyDescent="0.2">
      <c r="A579" s="276"/>
      <c r="B579" s="359"/>
      <c r="C579" s="65"/>
      <c r="D579" s="265" t="s">
        <v>227</v>
      </c>
      <c r="E579" s="91" t="s">
        <v>222</v>
      </c>
      <c r="F579" s="38">
        <v>10000</v>
      </c>
      <c r="G579" s="28">
        <v>13</v>
      </c>
      <c r="H579" s="28">
        <f>F579*G579</f>
        <v>130000</v>
      </c>
      <c r="I579" s="84">
        <f>H579*21%</f>
        <v>27300</v>
      </c>
      <c r="J579" s="84">
        <f>H579+I579</f>
        <v>157300</v>
      </c>
      <c r="K579" s="360"/>
      <c r="L579" s="359"/>
      <c r="M579" s="361">
        <v>104000</v>
      </c>
      <c r="N579" s="28">
        <v>26000</v>
      </c>
      <c r="O579" s="37"/>
      <c r="P579" s="31"/>
      <c r="Q579" s="360"/>
      <c r="R579" s="276"/>
    </row>
    <row r="580" spans="1:18" s="52" customFormat="1" ht="15" customHeight="1" x14ac:dyDescent="0.2">
      <c r="A580" s="276"/>
      <c r="B580" s="189"/>
      <c r="C580" s="65"/>
      <c r="D580" s="264" t="s">
        <v>269</v>
      </c>
      <c r="E580" s="91" t="s">
        <v>225</v>
      </c>
      <c r="F580" s="38">
        <v>2000</v>
      </c>
      <c r="G580" s="28">
        <v>13</v>
      </c>
      <c r="H580" s="28">
        <f>F580*G580</f>
        <v>26000</v>
      </c>
      <c r="I580" s="84">
        <v>0</v>
      </c>
      <c r="J580" s="84">
        <f>H580+I580</f>
        <v>26000</v>
      </c>
      <c r="K580" s="190"/>
      <c r="L580" s="189"/>
      <c r="M580" s="28">
        <f>H580*0.8</f>
        <v>20800</v>
      </c>
      <c r="N580" s="28">
        <f>H580*0.2</f>
        <v>5200</v>
      </c>
      <c r="O580" s="28"/>
      <c r="P580" s="31"/>
      <c r="Q580" s="190"/>
      <c r="R580" s="276"/>
    </row>
    <row r="581" spans="1:18" s="51" customFormat="1" ht="15" customHeight="1" x14ac:dyDescent="0.2">
      <c r="A581" s="280"/>
      <c r="B581" s="197"/>
      <c r="C581" s="145">
        <f>SUM(C577:C578)</f>
        <v>0</v>
      </c>
      <c r="D581" s="144"/>
      <c r="E581" s="103"/>
      <c r="F581" s="502" t="s">
        <v>52</v>
      </c>
      <c r="G581" s="503"/>
      <c r="H581" s="364">
        <f>SUM(H577:H580)</f>
        <v>416000</v>
      </c>
      <c r="I581" s="365">
        <f>SUM(I577:I580)</f>
        <v>81900</v>
      </c>
      <c r="J581" s="365">
        <f>SUM(J577:J580)</f>
        <v>497900</v>
      </c>
      <c r="K581" s="289"/>
      <c r="L581" s="288"/>
      <c r="M581" s="334">
        <f>SUM(M577:M580)</f>
        <v>293800</v>
      </c>
      <c r="N581" s="335">
        <f>SUM(N577:N580)</f>
        <v>122200</v>
      </c>
      <c r="O581" s="336">
        <f>SUM(O577:O578)</f>
        <v>0</v>
      </c>
      <c r="P581" s="338">
        <f>SUM(M581:O581)</f>
        <v>416000</v>
      </c>
      <c r="Q581" s="198"/>
      <c r="R581" s="280"/>
    </row>
    <row r="582" spans="1:18" s="49" customFormat="1" ht="30" customHeight="1" x14ac:dyDescent="0.2">
      <c r="A582" s="276"/>
      <c r="B582" s="189"/>
      <c r="C582" s="66"/>
      <c r="D582" s="6"/>
      <c r="E582" s="7"/>
      <c r="F582" s="8"/>
      <c r="G582" s="8"/>
      <c r="H582" s="9"/>
      <c r="I582" s="50"/>
      <c r="J582" s="50"/>
      <c r="K582" s="190"/>
      <c r="L582" s="189"/>
      <c r="M582" s="54"/>
      <c r="N582" s="54"/>
      <c r="O582" s="54"/>
      <c r="P582" s="55"/>
      <c r="Q582" s="190"/>
      <c r="R582" s="276"/>
    </row>
    <row r="583" spans="1:18" s="51" customFormat="1" ht="15" customHeight="1" x14ac:dyDescent="0.2">
      <c r="A583" s="280"/>
      <c r="B583" s="201"/>
      <c r="C583" s="301">
        <v>10</v>
      </c>
      <c r="D583" s="306" t="s">
        <v>45</v>
      </c>
      <c r="E583" s="328" t="s">
        <v>82</v>
      </c>
      <c r="F583" s="329" t="s">
        <v>41</v>
      </c>
      <c r="G583" s="330" t="s">
        <v>42</v>
      </c>
      <c r="H583" s="326" t="s">
        <v>58</v>
      </c>
      <c r="I583" s="331" t="s">
        <v>61</v>
      </c>
      <c r="J583" s="331" t="s">
        <v>139</v>
      </c>
      <c r="K583" s="202"/>
      <c r="L583" s="201"/>
      <c r="M583" s="332" t="s">
        <v>97</v>
      </c>
      <c r="N583" s="332" t="s">
        <v>26</v>
      </c>
      <c r="O583" s="332" t="s">
        <v>60</v>
      </c>
      <c r="P583" s="327" t="s">
        <v>58</v>
      </c>
      <c r="Q583" s="202"/>
      <c r="R583" s="280"/>
    </row>
    <row r="584" spans="1:18" s="52" customFormat="1" ht="15" customHeight="1" x14ac:dyDescent="0.2">
      <c r="A584" s="276"/>
      <c r="B584" s="189"/>
      <c r="C584" s="65"/>
      <c r="D584" s="264" t="s">
        <v>271</v>
      </c>
      <c r="E584" s="91" t="s">
        <v>127</v>
      </c>
      <c r="F584" s="38">
        <v>10000</v>
      </c>
      <c r="G584" s="28">
        <v>2</v>
      </c>
      <c r="H584" s="28">
        <f>F584*G584</f>
        <v>20000</v>
      </c>
      <c r="I584" s="84">
        <f>H584*21%</f>
        <v>4200</v>
      </c>
      <c r="J584" s="84">
        <f>H584+I584</f>
        <v>24200</v>
      </c>
      <c r="K584" s="190"/>
      <c r="L584" s="189"/>
      <c r="M584" s="28">
        <f>H584*0.8</f>
        <v>16000</v>
      </c>
      <c r="N584" s="28">
        <f>H584*0.2</f>
        <v>4000</v>
      </c>
      <c r="O584" s="28"/>
      <c r="P584" s="31"/>
      <c r="Q584" s="190"/>
      <c r="R584" s="276"/>
    </row>
    <row r="585" spans="1:18" s="52" customFormat="1" ht="15" customHeight="1" x14ac:dyDescent="0.2">
      <c r="A585" s="276"/>
      <c r="B585" s="189"/>
      <c r="C585" s="65"/>
      <c r="D585" s="264" t="s">
        <v>138</v>
      </c>
      <c r="E585" s="91" t="s">
        <v>127</v>
      </c>
      <c r="F585" s="38">
        <v>60000</v>
      </c>
      <c r="G585" s="28">
        <v>2</v>
      </c>
      <c r="H585" s="28">
        <f>F585*G585</f>
        <v>120000</v>
      </c>
      <c r="I585" s="84">
        <f>H585*21%</f>
        <v>25200</v>
      </c>
      <c r="J585" s="84">
        <f>H585+I585</f>
        <v>145200</v>
      </c>
      <c r="K585" s="190"/>
      <c r="L585" s="189"/>
      <c r="M585" s="28">
        <f>H585*0.8</f>
        <v>96000</v>
      </c>
      <c r="N585" s="28">
        <f>H585*0.2</f>
        <v>24000</v>
      </c>
      <c r="O585" s="28"/>
      <c r="P585" s="31"/>
      <c r="Q585" s="190"/>
      <c r="R585" s="276"/>
    </row>
    <row r="586" spans="1:18" s="51" customFormat="1" ht="15" customHeight="1" x14ac:dyDescent="0.2">
      <c r="A586" s="280"/>
      <c r="B586" s="197"/>
      <c r="C586" s="145">
        <f>SUM(C584:C585)</f>
        <v>0</v>
      </c>
      <c r="D586" s="144"/>
      <c r="E586" s="103"/>
      <c r="F586" s="481" t="s">
        <v>65</v>
      </c>
      <c r="G586" s="482"/>
      <c r="H586" s="337">
        <f>SUM(H584:H585)</f>
        <v>140000</v>
      </c>
      <c r="I586" s="333">
        <f>SUM(I584:I585)</f>
        <v>29400</v>
      </c>
      <c r="J586" s="333">
        <f>SUM(J584:J585)</f>
        <v>169400</v>
      </c>
      <c r="K586" s="289"/>
      <c r="L586" s="288"/>
      <c r="M586" s="334">
        <f>SUM(M584:M585)</f>
        <v>112000</v>
      </c>
      <c r="N586" s="335">
        <f>SUM(N584:N585)</f>
        <v>28000</v>
      </c>
      <c r="O586" s="336">
        <f>SUM(O584:O585)</f>
        <v>0</v>
      </c>
      <c r="P586" s="338">
        <f>SUM(M586:O586)</f>
        <v>140000</v>
      </c>
      <c r="Q586" s="198"/>
      <c r="R586" s="280"/>
    </row>
    <row r="587" spans="1:18" s="49" customFormat="1" ht="30" customHeight="1" x14ac:dyDescent="0.2">
      <c r="A587" s="276"/>
      <c r="B587" s="189"/>
      <c r="C587" s="66"/>
      <c r="D587" s="6"/>
      <c r="E587" s="7"/>
      <c r="F587" s="8"/>
      <c r="G587" s="8"/>
      <c r="H587" s="9"/>
      <c r="I587" s="50"/>
      <c r="J587" s="50"/>
      <c r="K587" s="190"/>
      <c r="L587" s="189"/>
      <c r="M587" s="54"/>
      <c r="N587" s="54"/>
      <c r="O587" s="54"/>
      <c r="P587" s="55"/>
      <c r="Q587" s="190"/>
      <c r="R587" s="276"/>
    </row>
    <row r="588" spans="1:18" s="51" customFormat="1" ht="15" customHeight="1" x14ac:dyDescent="0.2">
      <c r="A588" s="280"/>
      <c r="B588" s="201"/>
      <c r="C588" s="301">
        <v>11</v>
      </c>
      <c r="D588" s="306" t="s">
        <v>83</v>
      </c>
      <c r="E588" s="328" t="s">
        <v>82</v>
      </c>
      <c r="F588" s="329" t="s">
        <v>41</v>
      </c>
      <c r="G588" s="330" t="s">
        <v>42</v>
      </c>
      <c r="H588" s="326" t="s">
        <v>58</v>
      </c>
      <c r="I588" s="331" t="s">
        <v>61</v>
      </c>
      <c r="J588" s="331" t="s">
        <v>139</v>
      </c>
      <c r="K588" s="202"/>
      <c r="L588" s="201"/>
      <c r="M588" s="332" t="s">
        <v>97</v>
      </c>
      <c r="N588" s="332" t="s">
        <v>26</v>
      </c>
      <c r="O588" s="332" t="s">
        <v>60</v>
      </c>
      <c r="P588" s="327" t="s">
        <v>58</v>
      </c>
      <c r="Q588" s="202"/>
      <c r="R588" s="280"/>
    </row>
    <row r="589" spans="1:18" s="75" customFormat="1" ht="15" customHeight="1" x14ac:dyDescent="0.2">
      <c r="A589" s="283"/>
      <c r="B589" s="207"/>
      <c r="C589" s="13"/>
      <c r="D589" s="267" t="s">
        <v>228</v>
      </c>
      <c r="E589" s="155"/>
      <c r="F589" s="98"/>
      <c r="G589" s="98"/>
      <c r="H589" s="162"/>
      <c r="I589" s="167"/>
      <c r="J589" s="156"/>
      <c r="K589" s="208"/>
      <c r="L589" s="207"/>
      <c r="M589" s="107"/>
      <c r="N589" s="108"/>
      <c r="O589" s="159"/>
      <c r="P589" s="149"/>
      <c r="Q589" s="208"/>
      <c r="R589" s="283"/>
    </row>
    <row r="590" spans="1:18" ht="15" customHeight="1" x14ac:dyDescent="0.2">
      <c r="A590" s="276"/>
      <c r="B590" s="189"/>
      <c r="C590" s="65"/>
      <c r="D590" s="76" t="s">
        <v>310</v>
      </c>
      <c r="E590" s="91">
        <v>4</v>
      </c>
      <c r="F590" s="28">
        <v>6000</v>
      </c>
      <c r="G590" s="28">
        <v>13</v>
      </c>
      <c r="H590" s="28">
        <f>+F590*E590*G590</f>
        <v>312000</v>
      </c>
      <c r="I590" s="169"/>
      <c r="J590" s="80"/>
      <c r="K590" s="190"/>
      <c r="L590" s="189"/>
      <c r="M590" s="109"/>
      <c r="N590" s="34"/>
      <c r="O590" s="106"/>
      <c r="P590" s="106"/>
      <c r="Q590" s="190"/>
      <c r="R590" s="276"/>
    </row>
    <row r="591" spans="1:18" ht="15" customHeight="1" x14ac:dyDescent="0.2">
      <c r="A591" s="276"/>
      <c r="B591" s="189"/>
      <c r="C591" s="65"/>
      <c r="D591" s="445" t="s">
        <v>309</v>
      </c>
      <c r="E591" s="91">
        <v>1</v>
      </c>
      <c r="F591" s="28">
        <v>3000</v>
      </c>
      <c r="G591" s="28">
        <v>7</v>
      </c>
      <c r="H591" s="28">
        <f>+F591*G591*E591</f>
        <v>21000</v>
      </c>
      <c r="I591" s="169"/>
      <c r="J591" s="80"/>
      <c r="K591" s="190"/>
      <c r="L591" s="189"/>
      <c r="M591" s="109"/>
      <c r="N591" s="34"/>
      <c r="O591" s="106"/>
      <c r="P591" s="106"/>
      <c r="Q591" s="190"/>
      <c r="R591" s="276"/>
    </row>
    <row r="592" spans="1:18" ht="15" customHeight="1" x14ac:dyDescent="0.2">
      <c r="A592" s="276"/>
      <c r="B592" s="189"/>
      <c r="C592" s="65"/>
      <c r="D592" s="76" t="s">
        <v>229</v>
      </c>
      <c r="E592" s="91">
        <v>5</v>
      </c>
      <c r="F592" s="28">
        <v>2500</v>
      </c>
      <c r="G592" s="28">
        <v>13</v>
      </c>
      <c r="H592" s="28">
        <f>+F592*G592*E592</f>
        <v>162500</v>
      </c>
      <c r="I592" s="169"/>
      <c r="J592" s="80"/>
      <c r="K592" s="190"/>
      <c r="L592" s="189"/>
      <c r="M592" s="109"/>
      <c r="N592" s="34"/>
      <c r="O592" s="106"/>
      <c r="P592" s="106"/>
      <c r="Q592" s="190"/>
      <c r="R592" s="276"/>
    </row>
    <row r="593" spans="1:18" ht="15" customHeight="1" x14ac:dyDescent="0.2">
      <c r="A593" s="276"/>
      <c r="B593" s="189"/>
      <c r="C593" s="65"/>
      <c r="D593" s="76" t="s">
        <v>311</v>
      </c>
      <c r="E593" s="366">
        <v>1</v>
      </c>
      <c r="F593" s="28">
        <v>5000</v>
      </c>
      <c r="G593" s="28">
        <v>13</v>
      </c>
      <c r="H593" s="28">
        <f>+F593*G593*E593</f>
        <v>65000</v>
      </c>
      <c r="I593" s="169"/>
      <c r="J593" s="80"/>
      <c r="K593" s="190"/>
      <c r="L593" s="189"/>
      <c r="M593" s="109"/>
      <c r="N593" s="34"/>
      <c r="O593" s="106"/>
      <c r="P593" s="106"/>
      <c r="Q593" s="190"/>
      <c r="R593" s="276"/>
    </row>
    <row r="594" spans="1:18" ht="15" customHeight="1" x14ac:dyDescent="0.2">
      <c r="A594" s="276"/>
      <c r="B594" s="189"/>
      <c r="C594" s="65"/>
      <c r="D594" s="76" t="s">
        <v>285</v>
      </c>
      <c r="E594" s="10">
        <v>1</v>
      </c>
      <c r="F594" s="123">
        <v>320</v>
      </c>
      <c r="G594" s="28">
        <v>13</v>
      </c>
      <c r="H594" s="37">
        <f>+F594*E594*G594</f>
        <v>4160</v>
      </c>
      <c r="I594" s="94">
        <v>0</v>
      </c>
      <c r="J594" s="94">
        <f>SUM(H590:H594)</f>
        <v>564660</v>
      </c>
      <c r="K594" s="190"/>
      <c r="L594" s="189"/>
      <c r="M594" s="28">
        <f>J594*40%</f>
        <v>225864</v>
      </c>
      <c r="N594" s="28">
        <f>J594*60%</f>
        <v>338796</v>
      </c>
      <c r="O594" s="28"/>
      <c r="P594" s="32"/>
      <c r="Q594" s="190"/>
      <c r="R594" s="276"/>
    </row>
    <row r="595" spans="1:18" s="75" customFormat="1" ht="15" customHeight="1" x14ac:dyDescent="0.2">
      <c r="A595" s="283"/>
      <c r="B595" s="207"/>
      <c r="C595" s="73"/>
      <c r="D595" s="267" t="s">
        <v>319</v>
      </c>
      <c r="E595" s="154"/>
      <c r="F595" s="79"/>
      <c r="G595" s="157"/>
      <c r="H595" s="28"/>
      <c r="I595" s="171"/>
      <c r="J595" s="165"/>
      <c r="K595" s="196"/>
      <c r="L595" s="195"/>
      <c r="M595" s="176"/>
      <c r="N595" s="83"/>
      <c r="O595" s="157"/>
      <c r="P595" s="119"/>
      <c r="Q595" s="208"/>
      <c r="R595" s="283"/>
    </row>
    <row r="596" spans="1:18" s="124" customFormat="1" ht="15" customHeight="1" x14ac:dyDescent="0.2">
      <c r="A596" s="282"/>
      <c r="B596" s="203"/>
      <c r="C596" s="65"/>
      <c r="D596" s="76" t="s">
        <v>312</v>
      </c>
      <c r="E596" s="91" t="s">
        <v>127</v>
      </c>
      <c r="F596" s="123">
        <v>975</v>
      </c>
      <c r="G596" s="84">
        <v>1</v>
      </c>
      <c r="H596" s="84">
        <f t="shared" ref="H596:H604" si="14">F596*G596</f>
        <v>975</v>
      </c>
      <c r="I596" s="169"/>
      <c r="J596" s="80"/>
      <c r="K596" s="204"/>
      <c r="L596" s="203"/>
      <c r="M596" s="114"/>
      <c r="N596" s="86"/>
      <c r="O596" s="112"/>
      <c r="P596" s="112"/>
      <c r="Q596" s="204"/>
      <c r="R596" s="282"/>
    </row>
    <row r="597" spans="1:18" s="124" customFormat="1" ht="15" customHeight="1" x14ac:dyDescent="0.2">
      <c r="A597" s="282"/>
      <c r="B597" s="203"/>
      <c r="C597" s="65"/>
      <c r="D597" s="76" t="s">
        <v>313</v>
      </c>
      <c r="E597" s="91" t="s">
        <v>130</v>
      </c>
      <c r="F597" s="123">
        <f>395*70%</f>
        <v>276.5</v>
      </c>
      <c r="G597" s="84">
        <v>13</v>
      </c>
      <c r="H597" s="84">
        <f t="shared" si="14"/>
        <v>3594.5</v>
      </c>
      <c r="I597" s="169"/>
      <c r="J597" s="80"/>
      <c r="K597" s="204"/>
      <c r="L597" s="203"/>
      <c r="M597" s="114"/>
      <c r="N597" s="86"/>
      <c r="O597" s="112"/>
      <c r="P597" s="112"/>
      <c r="Q597" s="204"/>
      <c r="R597" s="282"/>
    </row>
    <row r="598" spans="1:18" s="124" customFormat="1" ht="15" customHeight="1" x14ac:dyDescent="0.2">
      <c r="A598" s="282"/>
      <c r="B598" s="203"/>
      <c r="C598" s="65"/>
      <c r="D598" s="76" t="s">
        <v>314</v>
      </c>
      <c r="E598" s="91" t="s">
        <v>130</v>
      </c>
      <c r="F598" s="123">
        <f>205*70%</f>
        <v>143.5</v>
      </c>
      <c r="G598" s="84">
        <f>13*5</f>
        <v>65</v>
      </c>
      <c r="H598" s="84">
        <f t="shared" si="14"/>
        <v>9327.5</v>
      </c>
      <c r="I598" s="169"/>
      <c r="J598" s="80"/>
      <c r="K598" s="204"/>
      <c r="L598" s="203"/>
      <c r="M598" s="114"/>
      <c r="N598" s="86"/>
      <c r="O598" s="112"/>
      <c r="P598" s="112"/>
      <c r="Q598" s="204"/>
      <c r="R598" s="282"/>
    </row>
    <row r="599" spans="1:18" s="124" customFormat="1" ht="15" customHeight="1" x14ac:dyDescent="0.2">
      <c r="A599" s="282"/>
      <c r="B599" s="203"/>
      <c r="C599" s="65"/>
      <c r="D599" s="76" t="s">
        <v>316</v>
      </c>
      <c r="E599" s="91" t="s">
        <v>130</v>
      </c>
      <c r="F599" s="123">
        <f>1565*70%</f>
        <v>1095.5</v>
      </c>
      <c r="G599" s="84">
        <v>3</v>
      </c>
      <c r="H599" s="84">
        <f t="shared" si="14"/>
        <v>3286.5</v>
      </c>
      <c r="I599" s="169"/>
      <c r="J599" s="80"/>
      <c r="K599" s="204"/>
      <c r="L599" s="203"/>
      <c r="M599" s="114"/>
      <c r="N599" s="86"/>
      <c r="O599" s="112"/>
      <c r="P599" s="112"/>
      <c r="Q599" s="204"/>
      <c r="R599" s="282"/>
    </row>
    <row r="600" spans="1:18" s="124" customFormat="1" ht="15" customHeight="1" x14ac:dyDescent="0.2">
      <c r="A600" s="282"/>
      <c r="B600" s="203"/>
      <c r="C600" s="65"/>
      <c r="D600" s="76" t="s">
        <v>315</v>
      </c>
      <c r="E600" s="91" t="s">
        <v>130</v>
      </c>
      <c r="F600" s="123">
        <f>360*70%</f>
        <v>251.99999999999997</v>
      </c>
      <c r="G600" s="84">
        <v>2</v>
      </c>
      <c r="H600" s="84">
        <f t="shared" si="14"/>
        <v>503.99999999999994</v>
      </c>
      <c r="I600" s="169"/>
      <c r="J600" s="80"/>
      <c r="K600" s="204"/>
      <c r="L600" s="203"/>
      <c r="M600" s="114"/>
      <c r="N600" s="86"/>
      <c r="O600" s="112"/>
      <c r="P600" s="112"/>
      <c r="Q600" s="204"/>
      <c r="R600" s="282"/>
    </row>
    <row r="601" spans="1:18" s="124" customFormat="1" ht="15" customHeight="1" x14ac:dyDescent="0.2">
      <c r="A601" s="282"/>
      <c r="B601" s="203"/>
      <c r="C601" s="65"/>
      <c r="D601" s="76" t="s">
        <v>320</v>
      </c>
      <c r="E601" s="91" t="s">
        <v>130</v>
      </c>
      <c r="F601" s="123">
        <f>4315*70%</f>
        <v>3020.5</v>
      </c>
      <c r="G601" s="84">
        <v>5</v>
      </c>
      <c r="H601" s="84">
        <f t="shared" si="14"/>
        <v>15102.5</v>
      </c>
      <c r="I601" s="169"/>
      <c r="J601" s="80"/>
      <c r="K601" s="204"/>
      <c r="L601" s="203"/>
      <c r="M601" s="125"/>
      <c r="N601" s="126"/>
      <c r="O601" s="115"/>
      <c r="P601" s="112"/>
      <c r="Q601" s="204"/>
      <c r="R601" s="282"/>
    </row>
    <row r="602" spans="1:18" s="124" customFormat="1" ht="15" customHeight="1" x14ac:dyDescent="0.2">
      <c r="A602" s="282"/>
      <c r="B602" s="367"/>
      <c r="C602" s="65"/>
      <c r="D602" s="445" t="s">
        <v>317</v>
      </c>
      <c r="E602" s="91" t="s">
        <v>25</v>
      </c>
      <c r="F602" s="123">
        <f>790*70%</f>
        <v>553</v>
      </c>
      <c r="G602" s="84">
        <v>0</v>
      </c>
      <c r="H602" s="84">
        <f t="shared" si="14"/>
        <v>0</v>
      </c>
      <c r="I602" s="369"/>
      <c r="J602" s="80"/>
      <c r="K602" s="368"/>
      <c r="L602" s="367"/>
      <c r="M602" s="125"/>
      <c r="N602" s="126"/>
      <c r="O602" s="115"/>
      <c r="P602" s="112"/>
      <c r="Q602" s="368"/>
      <c r="R602" s="282"/>
    </row>
    <row r="603" spans="1:18" s="124" customFormat="1" ht="15" customHeight="1" x14ac:dyDescent="0.2">
      <c r="A603" s="282"/>
      <c r="B603" s="367"/>
      <c r="C603" s="65"/>
      <c r="D603" s="76" t="s">
        <v>318</v>
      </c>
      <c r="E603" s="91" t="s">
        <v>25</v>
      </c>
      <c r="F603" s="123">
        <f>185*70%</f>
        <v>129.5</v>
      </c>
      <c r="G603" s="84">
        <f>13*5</f>
        <v>65</v>
      </c>
      <c r="H603" s="84">
        <f>+F603*G603</f>
        <v>8417.5</v>
      </c>
      <c r="I603" s="170"/>
      <c r="J603" s="81"/>
      <c r="K603" s="368"/>
      <c r="L603" s="367"/>
      <c r="M603" s="125"/>
      <c r="N603" s="126"/>
      <c r="O603" s="115"/>
      <c r="P603" s="112"/>
      <c r="Q603" s="368"/>
      <c r="R603" s="282"/>
    </row>
    <row r="604" spans="1:18" s="124" customFormat="1" ht="15" customHeight="1" x14ac:dyDescent="0.2">
      <c r="A604" s="282"/>
      <c r="B604" s="203"/>
      <c r="C604" s="65"/>
      <c r="D604" s="76" t="s">
        <v>321</v>
      </c>
      <c r="E604" s="91" t="s">
        <v>232</v>
      </c>
      <c r="F604" s="123">
        <v>40</v>
      </c>
      <c r="G604" s="84">
        <f>SUM(G596:G603)</f>
        <v>154</v>
      </c>
      <c r="H604" s="84">
        <f t="shared" si="14"/>
        <v>6160</v>
      </c>
      <c r="I604" s="94">
        <v>0</v>
      </c>
      <c r="J604" s="94">
        <f>SUM(H596:H604)</f>
        <v>47367.5</v>
      </c>
      <c r="K604" s="204"/>
      <c r="L604" s="203"/>
      <c r="M604" s="84">
        <f>J604*0.3</f>
        <v>14210.25</v>
      </c>
      <c r="N604" s="84">
        <f>J604*0.7</f>
        <v>33157.25</v>
      </c>
      <c r="O604" s="84"/>
      <c r="P604" s="88"/>
      <c r="Q604" s="204"/>
      <c r="R604" s="282"/>
    </row>
    <row r="605" spans="1:18" s="75" customFormat="1" ht="15" customHeight="1" x14ac:dyDescent="0.2">
      <c r="A605" s="283"/>
      <c r="B605" s="207"/>
      <c r="C605" s="73"/>
      <c r="D605" s="266" t="s">
        <v>101</v>
      </c>
      <c r="E605" s="154"/>
      <c r="F605" s="79"/>
      <c r="G605" s="157"/>
      <c r="H605" s="28"/>
      <c r="I605" s="171"/>
      <c r="J605" s="165"/>
      <c r="K605" s="196"/>
      <c r="L605" s="195"/>
      <c r="M605" s="176"/>
      <c r="N605" s="83"/>
      <c r="O605" s="157"/>
      <c r="P605" s="119"/>
      <c r="Q605" s="208"/>
      <c r="R605" s="283"/>
    </row>
    <row r="606" spans="1:18" s="90" customFormat="1" ht="15" customHeight="1" x14ac:dyDescent="0.2">
      <c r="A606" s="282"/>
      <c r="B606" s="203"/>
      <c r="C606" s="65"/>
      <c r="D606" s="76" t="s">
        <v>230</v>
      </c>
      <c r="E606" s="91" t="s">
        <v>66</v>
      </c>
      <c r="F606" s="123">
        <v>10000</v>
      </c>
      <c r="G606" s="84">
        <v>5</v>
      </c>
      <c r="H606" s="84">
        <f>F606*G606</f>
        <v>50000</v>
      </c>
      <c r="I606" s="94">
        <v>0</v>
      </c>
      <c r="J606" s="94">
        <f>+I606+H606</f>
        <v>50000</v>
      </c>
      <c r="K606" s="204"/>
      <c r="L606" s="203"/>
      <c r="M606" s="84">
        <v>20000</v>
      </c>
      <c r="N606" s="84">
        <v>30000</v>
      </c>
      <c r="O606" s="84"/>
      <c r="P606" s="88"/>
      <c r="Q606" s="204"/>
      <c r="R606" s="282"/>
    </row>
    <row r="607" spans="1:18" s="90" customFormat="1" ht="15" customHeight="1" x14ac:dyDescent="0.2">
      <c r="A607" s="282"/>
      <c r="B607" s="203"/>
      <c r="C607" s="65"/>
      <c r="D607" s="76" t="s">
        <v>231</v>
      </c>
      <c r="E607" s="91" t="s">
        <v>225</v>
      </c>
      <c r="F607" s="123">
        <v>800</v>
      </c>
      <c r="G607" s="84">
        <v>20</v>
      </c>
      <c r="H607" s="84">
        <f>F607*G607</f>
        <v>16000</v>
      </c>
      <c r="I607" s="94">
        <f>+H607*21%</f>
        <v>3360</v>
      </c>
      <c r="J607" s="94">
        <f>+I607+H607</f>
        <v>19360</v>
      </c>
      <c r="K607" s="204"/>
      <c r="L607" s="203"/>
      <c r="M607" s="84">
        <v>4000</v>
      </c>
      <c r="N607" s="84">
        <v>12000</v>
      </c>
      <c r="O607" s="84"/>
      <c r="P607" s="88"/>
      <c r="Q607" s="204"/>
      <c r="R607" s="282"/>
    </row>
    <row r="608" spans="1:18" s="90" customFormat="1" ht="15" customHeight="1" x14ac:dyDescent="0.2">
      <c r="A608" s="282"/>
      <c r="B608" s="203"/>
      <c r="C608" s="65"/>
      <c r="D608" s="97" t="s">
        <v>233</v>
      </c>
      <c r="E608" s="91" t="s">
        <v>225</v>
      </c>
      <c r="F608" s="123">
        <v>0</v>
      </c>
      <c r="G608" s="84">
        <v>0</v>
      </c>
      <c r="H608" s="84">
        <f>F608*G608</f>
        <v>0</v>
      </c>
      <c r="I608" s="94"/>
      <c r="J608" s="94">
        <f>+I608+H608</f>
        <v>0</v>
      </c>
      <c r="K608" s="204"/>
      <c r="L608" s="203"/>
      <c r="M608" s="84"/>
      <c r="N608" s="84"/>
      <c r="O608" s="84"/>
      <c r="P608" s="88"/>
      <c r="Q608" s="204"/>
      <c r="R608" s="282"/>
    </row>
    <row r="609" spans="1:18" s="51" customFormat="1" ht="15" customHeight="1" x14ac:dyDescent="0.2">
      <c r="A609" s="280"/>
      <c r="B609" s="197"/>
      <c r="C609" s="181">
        <f>SUM(C589:C608)</f>
        <v>0</v>
      </c>
      <c r="D609" s="144"/>
      <c r="E609" s="103"/>
      <c r="F609" s="481" t="s">
        <v>75</v>
      </c>
      <c r="G609" s="482"/>
      <c r="H609" s="337">
        <f>SUM(H590:H608)</f>
        <v>678027.5</v>
      </c>
      <c r="I609" s="333">
        <f>SUM(I590:I608)</f>
        <v>3360</v>
      </c>
      <c r="J609" s="333">
        <f>SUM(J606:J608,J604,J594)</f>
        <v>681387.5</v>
      </c>
      <c r="K609" s="289"/>
      <c r="L609" s="288"/>
      <c r="M609" s="334">
        <f>SUM(M589:M608)</f>
        <v>264074.25</v>
      </c>
      <c r="N609" s="335">
        <f>SUM(N589:N608)</f>
        <v>413953.25</v>
      </c>
      <c r="O609" s="336">
        <f>SUM(O589:O608)</f>
        <v>0</v>
      </c>
      <c r="P609" s="338">
        <f>SUM(M609:O609)</f>
        <v>678027.5</v>
      </c>
      <c r="Q609" s="198"/>
      <c r="R609" s="280"/>
    </row>
    <row r="610" spans="1:18" s="49" customFormat="1" ht="30" customHeight="1" x14ac:dyDescent="0.2">
      <c r="A610" s="276"/>
      <c r="B610" s="189"/>
      <c r="C610" s="66"/>
      <c r="D610" s="6"/>
      <c r="E610" s="7"/>
      <c r="F610" s="8"/>
      <c r="G610" s="8"/>
      <c r="H610" s="9"/>
      <c r="I610" s="50"/>
      <c r="J610" s="50"/>
      <c r="K610" s="190"/>
      <c r="L610" s="189"/>
      <c r="M610" s="54"/>
      <c r="N610" s="54"/>
      <c r="O610" s="54"/>
      <c r="P610" s="55"/>
      <c r="Q610" s="190"/>
      <c r="R610" s="276"/>
    </row>
    <row r="611" spans="1:18" s="51" customFormat="1" ht="15" customHeight="1" x14ac:dyDescent="0.2">
      <c r="A611" s="280"/>
      <c r="B611" s="201"/>
      <c r="C611" s="301">
        <v>12</v>
      </c>
      <c r="D611" s="306" t="s">
        <v>109</v>
      </c>
      <c r="E611" s="328" t="s">
        <v>82</v>
      </c>
      <c r="F611" s="329" t="s">
        <v>41</v>
      </c>
      <c r="G611" s="330" t="s">
        <v>42</v>
      </c>
      <c r="H611" s="326" t="s">
        <v>58</v>
      </c>
      <c r="I611" s="331" t="s">
        <v>61</v>
      </c>
      <c r="J611" s="331" t="s">
        <v>139</v>
      </c>
      <c r="K611" s="202"/>
      <c r="L611" s="201"/>
      <c r="M611" s="332" t="s">
        <v>97</v>
      </c>
      <c r="N611" s="332" t="s">
        <v>26</v>
      </c>
      <c r="O611" s="332" t="s">
        <v>60</v>
      </c>
      <c r="P611" s="327" t="s">
        <v>58</v>
      </c>
      <c r="Q611" s="202"/>
      <c r="R611" s="280"/>
    </row>
    <row r="612" spans="1:18" ht="15" customHeight="1" x14ac:dyDescent="0.2">
      <c r="A612" s="276"/>
      <c r="B612" s="209"/>
      <c r="C612" s="65"/>
      <c r="D612" s="264" t="s">
        <v>112</v>
      </c>
      <c r="E612" s="91" t="s">
        <v>127</v>
      </c>
      <c r="F612" s="3">
        <v>10000</v>
      </c>
      <c r="G612" s="2">
        <v>1</v>
      </c>
      <c r="H612" s="63">
        <f>F612*G612</f>
        <v>10000</v>
      </c>
      <c r="I612" s="166">
        <f>+H612*21%</f>
        <v>2100</v>
      </c>
      <c r="J612" s="166">
        <f>H612</f>
        <v>10000</v>
      </c>
      <c r="K612" s="210"/>
      <c r="L612" s="209"/>
      <c r="M612" s="25"/>
      <c r="N612" s="23">
        <v>10000</v>
      </c>
      <c r="O612" s="25"/>
      <c r="P612" s="31"/>
      <c r="Q612" s="210"/>
      <c r="R612" s="276"/>
    </row>
    <row r="613" spans="1:18" ht="15" customHeight="1" x14ac:dyDescent="0.2">
      <c r="A613" s="276"/>
      <c r="B613" s="209"/>
      <c r="C613" s="65"/>
      <c r="D613" s="264" t="s">
        <v>101</v>
      </c>
      <c r="E613" s="91" t="s">
        <v>127</v>
      </c>
      <c r="F613" s="3">
        <v>0</v>
      </c>
      <c r="G613" s="2">
        <v>1</v>
      </c>
      <c r="H613" s="63">
        <f>F613*G613</f>
        <v>0</v>
      </c>
      <c r="I613" s="166">
        <v>0</v>
      </c>
      <c r="J613" s="166">
        <f>H613</f>
        <v>0</v>
      </c>
      <c r="K613" s="210"/>
      <c r="L613" s="209"/>
      <c r="M613" s="25"/>
      <c r="N613" s="23"/>
      <c r="O613" s="25"/>
      <c r="P613" s="31"/>
      <c r="Q613" s="210"/>
      <c r="R613" s="276"/>
    </row>
    <row r="614" spans="1:18" s="51" customFormat="1" ht="15" customHeight="1" x14ac:dyDescent="0.2">
      <c r="A614" s="280"/>
      <c r="B614" s="197"/>
      <c r="C614" s="145">
        <f>SUM(C612:C613)</f>
        <v>0</v>
      </c>
      <c r="D614" s="144"/>
      <c r="E614" s="103"/>
      <c r="F614" s="481" t="s">
        <v>13</v>
      </c>
      <c r="G614" s="482"/>
      <c r="H614" s="337">
        <f>SUM(H612:H613)</f>
        <v>10000</v>
      </c>
      <c r="I614" s="333">
        <f>SUM(I612:I613)</f>
        <v>2100</v>
      </c>
      <c r="J614" s="333">
        <f>SUM(J612:J613)</f>
        <v>10000</v>
      </c>
      <c r="K614" s="289"/>
      <c r="L614" s="288"/>
      <c r="M614" s="334">
        <f>SUM(M612:M613)</f>
        <v>0</v>
      </c>
      <c r="N614" s="335">
        <f>SUM(N612:N613)</f>
        <v>10000</v>
      </c>
      <c r="O614" s="336">
        <f>SUM(O612:O613)</f>
        <v>0</v>
      </c>
      <c r="P614" s="338">
        <f>SUM(M614:O614)</f>
        <v>10000</v>
      </c>
      <c r="Q614" s="198"/>
      <c r="R614" s="280"/>
    </row>
    <row r="615" spans="1:18" s="49" customFormat="1" ht="30" customHeight="1" x14ac:dyDescent="0.2">
      <c r="A615" s="276"/>
      <c r="B615" s="189"/>
      <c r="C615" s="66"/>
      <c r="D615" s="6"/>
      <c r="E615" s="7"/>
      <c r="F615" s="8"/>
      <c r="G615" s="8"/>
      <c r="H615" s="9"/>
      <c r="I615" s="50"/>
      <c r="J615" s="50"/>
      <c r="K615" s="190"/>
      <c r="L615" s="189"/>
      <c r="M615" s="54"/>
      <c r="N615" s="54"/>
      <c r="O615" s="54"/>
      <c r="P615" s="55"/>
      <c r="Q615" s="190"/>
      <c r="R615" s="276"/>
    </row>
    <row r="616" spans="1:18" s="51" customFormat="1" ht="15" customHeight="1" x14ac:dyDescent="0.2">
      <c r="A616" s="280"/>
      <c r="B616" s="201"/>
      <c r="C616" s="301">
        <v>13</v>
      </c>
      <c r="D616" s="306" t="s">
        <v>8</v>
      </c>
      <c r="E616" s="328" t="s">
        <v>82</v>
      </c>
      <c r="F616" s="329" t="s">
        <v>41</v>
      </c>
      <c r="G616" s="330" t="s">
        <v>42</v>
      </c>
      <c r="H616" s="326" t="s">
        <v>58</v>
      </c>
      <c r="I616" s="331" t="s">
        <v>61</v>
      </c>
      <c r="J616" s="331" t="s">
        <v>139</v>
      </c>
      <c r="K616" s="202"/>
      <c r="L616" s="201"/>
      <c r="M616" s="332" t="s">
        <v>97</v>
      </c>
      <c r="N616" s="332" t="s">
        <v>26</v>
      </c>
      <c r="O616" s="332" t="s">
        <v>60</v>
      </c>
      <c r="P616" s="327" t="s">
        <v>58</v>
      </c>
      <c r="Q616" s="202"/>
      <c r="R616" s="280"/>
    </row>
    <row r="617" spans="1:18" ht="15" customHeight="1" x14ac:dyDescent="0.2">
      <c r="A617" s="276"/>
      <c r="B617" s="195"/>
      <c r="C617" s="65"/>
      <c r="D617" s="265" t="s">
        <v>147</v>
      </c>
      <c r="E617" s="91" t="s">
        <v>127</v>
      </c>
      <c r="F617" s="60">
        <v>60000</v>
      </c>
      <c r="G617" s="29">
        <v>1</v>
      </c>
      <c r="H617" s="29">
        <f>+F617*G617</f>
        <v>60000</v>
      </c>
      <c r="I617" s="94">
        <v>0</v>
      </c>
      <c r="J617" s="94">
        <f>H617+I617</f>
        <v>60000</v>
      </c>
      <c r="K617" s="196"/>
      <c r="L617" s="195"/>
      <c r="M617" s="28"/>
      <c r="N617" s="28"/>
      <c r="O617" s="28">
        <f>H617</f>
        <v>60000</v>
      </c>
      <c r="P617" s="31"/>
      <c r="Q617" s="196"/>
      <c r="R617" s="276"/>
    </row>
    <row r="618" spans="1:18" ht="15" customHeight="1" x14ac:dyDescent="0.2">
      <c r="A618" s="276"/>
      <c r="B618" s="195"/>
      <c r="C618" s="65"/>
      <c r="D618" s="265" t="s">
        <v>236</v>
      </c>
      <c r="E618" s="91" t="s">
        <v>127</v>
      </c>
      <c r="F618" s="60">
        <v>17000</v>
      </c>
      <c r="G618" s="29">
        <v>1</v>
      </c>
      <c r="H618" s="29">
        <f>+F618*G618</f>
        <v>17000</v>
      </c>
      <c r="I618" s="94">
        <v>0</v>
      </c>
      <c r="J618" s="94">
        <f>H618+I618</f>
        <v>17000</v>
      </c>
      <c r="K618" s="196"/>
      <c r="L618" s="195"/>
      <c r="M618" s="28"/>
      <c r="N618" s="28"/>
      <c r="O618" s="28">
        <f>H618</f>
        <v>17000</v>
      </c>
      <c r="P618" s="31"/>
      <c r="Q618" s="196"/>
      <c r="R618" s="276"/>
    </row>
    <row r="619" spans="1:18" ht="15" customHeight="1" x14ac:dyDescent="0.2">
      <c r="A619" s="276"/>
      <c r="B619" s="195"/>
      <c r="C619" s="65"/>
      <c r="D619" s="264" t="s">
        <v>72</v>
      </c>
      <c r="E619" s="91" t="s">
        <v>127</v>
      </c>
      <c r="F619" s="28">
        <v>0</v>
      </c>
      <c r="G619" s="29">
        <v>1</v>
      </c>
      <c r="H619" s="29">
        <f>+F619*G619</f>
        <v>0</v>
      </c>
      <c r="I619" s="94">
        <v>0</v>
      </c>
      <c r="J619" s="94">
        <f>H619+I619</f>
        <v>0</v>
      </c>
      <c r="K619" s="196"/>
      <c r="L619" s="195"/>
      <c r="M619" s="28"/>
      <c r="N619" s="28"/>
      <c r="O619" s="28">
        <f>H619</f>
        <v>0</v>
      </c>
      <c r="P619" s="31"/>
      <c r="Q619" s="196"/>
      <c r="R619" s="276"/>
    </row>
    <row r="620" spans="1:18" s="51" customFormat="1" ht="15" customHeight="1" x14ac:dyDescent="0.2">
      <c r="A620" s="280"/>
      <c r="B620" s="197"/>
      <c r="C620" s="145">
        <f>SUM(C617:C619)</f>
        <v>0</v>
      </c>
      <c r="D620" s="144"/>
      <c r="E620" s="103"/>
      <c r="F620" s="481" t="s">
        <v>107</v>
      </c>
      <c r="G620" s="482"/>
      <c r="H620" s="337">
        <f>SUM(H617:H619)</f>
        <v>77000</v>
      </c>
      <c r="I620" s="333">
        <f>SUM(I617:I619)</f>
        <v>0</v>
      </c>
      <c r="J620" s="333">
        <f>SUM(J617:J619)</f>
        <v>77000</v>
      </c>
      <c r="K620" s="289"/>
      <c r="L620" s="288"/>
      <c r="M620" s="334">
        <f>SUM(M617:M619)</f>
        <v>0</v>
      </c>
      <c r="N620" s="335">
        <f>SUM(N617:N619)</f>
        <v>0</v>
      </c>
      <c r="O620" s="336">
        <f>SUM(O617:O619)</f>
        <v>77000</v>
      </c>
      <c r="P620" s="338">
        <f>SUM(M620:O620)</f>
        <v>77000</v>
      </c>
      <c r="Q620" s="198"/>
      <c r="R620" s="280"/>
    </row>
    <row r="621" spans="1:18" s="49" customFormat="1" ht="30" customHeight="1" x14ac:dyDescent="0.2">
      <c r="A621" s="276"/>
      <c r="B621" s="189"/>
      <c r="C621" s="66"/>
      <c r="D621" s="6"/>
      <c r="E621" s="7"/>
      <c r="F621" s="8"/>
      <c r="G621" s="8"/>
      <c r="H621" s="9"/>
      <c r="I621" s="50"/>
      <c r="J621" s="50"/>
      <c r="K621" s="190"/>
      <c r="L621" s="189"/>
      <c r="M621" s="54"/>
      <c r="N621" s="54"/>
      <c r="O621" s="54"/>
      <c r="P621" s="55"/>
      <c r="Q621" s="190"/>
      <c r="R621" s="276"/>
    </row>
    <row r="622" spans="1:18" s="51" customFormat="1" ht="15" customHeight="1" x14ac:dyDescent="0.2">
      <c r="A622" s="280"/>
      <c r="B622" s="201"/>
      <c r="C622" s="301">
        <v>14</v>
      </c>
      <c r="D622" s="306" t="s">
        <v>16</v>
      </c>
      <c r="E622" s="328" t="s">
        <v>82</v>
      </c>
      <c r="F622" s="329" t="s">
        <v>41</v>
      </c>
      <c r="G622" s="330" t="s">
        <v>42</v>
      </c>
      <c r="H622" s="326" t="s">
        <v>58</v>
      </c>
      <c r="I622" s="331" t="s">
        <v>61</v>
      </c>
      <c r="J622" s="331" t="s">
        <v>139</v>
      </c>
      <c r="K622" s="202"/>
      <c r="L622" s="201"/>
      <c r="M622" s="332" t="s">
        <v>97</v>
      </c>
      <c r="N622" s="332" t="s">
        <v>26</v>
      </c>
      <c r="O622" s="332" t="s">
        <v>60</v>
      </c>
      <c r="P622" s="327" t="s">
        <v>58</v>
      </c>
      <c r="Q622" s="202"/>
      <c r="R622" s="280"/>
    </row>
    <row r="623" spans="1:18" s="177" customFormat="1" ht="15" customHeight="1" x14ac:dyDescent="0.2">
      <c r="A623" s="282"/>
      <c r="B623" s="243"/>
      <c r="C623" s="65"/>
      <c r="D623" s="270" t="s">
        <v>156</v>
      </c>
      <c r="E623" s="228"/>
      <c r="F623" s="229"/>
      <c r="G623" s="112"/>
      <c r="H623" s="86"/>
      <c r="I623" s="171"/>
      <c r="J623" s="165"/>
      <c r="K623" s="244"/>
      <c r="L623" s="243"/>
      <c r="M623" s="232"/>
      <c r="N623" s="233"/>
      <c r="O623" s="234"/>
      <c r="P623" s="31"/>
      <c r="Q623" s="244"/>
      <c r="R623" s="282"/>
    </row>
    <row r="624" spans="1:18" s="90" customFormat="1" ht="15" customHeight="1" x14ac:dyDescent="0.2">
      <c r="A624" s="282"/>
      <c r="B624" s="203"/>
      <c r="C624" s="65"/>
      <c r="D624" s="76" t="s">
        <v>158</v>
      </c>
      <c r="E624" s="91" t="s">
        <v>237</v>
      </c>
      <c r="F624" s="123">
        <v>3500</v>
      </c>
      <c r="G624" s="84">
        <v>4</v>
      </c>
      <c r="H624" s="84">
        <f>+F624*G624</f>
        <v>14000</v>
      </c>
      <c r="I624" s="94">
        <f>+H624*21%</f>
        <v>2940</v>
      </c>
      <c r="J624" s="94">
        <f>H624+I624</f>
        <v>16940</v>
      </c>
      <c r="K624" s="204"/>
      <c r="L624" s="203"/>
      <c r="M624" s="84">
        <f>H624*0.5</f>
        <v>7000</v>
      </c>
      <c r="N624" s="84"/>
      <c r="O624" s="84">
        <f>H624*0.5</f>
        <v>7000</v>
      </c>
      <c r="P624" s="88"/>
      <c r="Q624" s="204"/>
      <c r="R624" s="282"/>
    </row>
    <row r="625" spans="1:18" s="90" customFormat="1" ht="15" customHeight="1" x14ac:dyDescent="0.2">
      <c r="A625" s="282"/>
      <c r="B625" s="203"/>
      <c r="C625" s="65"/>
      <c r="D625" s="76" t="s">
        <v>159</v>
      </c>
      <c r="E625" s="91" t="s">
        <v>160</v>
      </c>
      <c r="F625" s="123">
        <v>1500</v>
      </c>
      <c r="G625" s="84">
        <v>3</v>
      </c>
      <c r="H625" s="115">
        <f>+F625*G625</f>
        <v>4500</v>
      </c>
      <c r="I625" s="94">
        <f>+H625*21%</f>
        <v>945</v>
      </c>
      <c r="J625" s="94">
        <f>H625+I625</f>
        <v>5445</v>
      </c>
      <c r="K625" s="204"/>
      <c r="L625" s="203"/>
      <c r="M625" s="84">
        <f>H625</f>
        <v>4500</v>
      </c>
      <c r="N625" s="84"/>
      <c r="O625" s="84"/>
      <c r="P625" s="88"/>
      <c r="Q625" s="204"/>
      <c r="R625" s="282"/>
    </row>
    <row r="626" spans="1:18" s="177" customFormat="1" ht="15" customHeight="1" x14ac:dyDescent="0.2">
      <c r="A626" s="282"/>
      <c r="B626" s="231"/>
      <c r="C626" s="65"/>
      <c r="D626" s="264" t="s">
        <v>115</v>
      </c>
      <c r="E626" s="91" t="s">
        <v>127</v>
      </c>
      <c r="F626" s="84">
        <v>0</v>
      </c>
      <c r="G626" s="115">
        <v>0</v>
      </c>
      <c r="H626" s="115">
        <f>+F626*G626</f>
        <v>0</v>
      </c>
      <c r="I626" s="94">
        <f>+H626*21%</f>
        <v>0</v>
      </c>
      <c r="J626" s="94">
        <f>H626+I626</f>
        <v>0</v>
      </c>
      <c r="K626" s="230"/>
      <c r="L626" s="231"/>
      <c r="M626" s="84">
        <f>H626*0.8</f>
        <v>0</v>
      </c>
      <c r="N626" s="84">
        <f>H626*20%</f>
        <v>0</v>
      </c>
      <c r="O626" s="84"/>
      <c r="P626" s="31"/>
      <c r="Q626" s="230"/>
      <c r="R626" s="282"/>
    </row>
    <row r="627" spans="1:18" s="51" customFormat="1" ht="15" customHeight="1" x14ac:dyDescent="0.2">
      <c r="A627" s="280"/>
      <c r="B627" s="197"/>
      <c r="C627" s="145">
        <f>SUM(C623:C626)</f>
        <v>0</v>
      </c>
      <c r="D627" s="144"/>
      <c r="E627" s="103"/>
      <c r="F627" s="481" t="s">
        <v>106</v>
      </c>
      <c r="G627" s="482"/>
      <c r="H627" s="337">
        <f>SUM(H624:H626)</f>
        <v>18500</v>
      </c>
      <c r="I627" s="333">
        <f>SUM(I624:I626)</f>
        <v>3885</v>
      </c>
      <c r="J627" s="333">
        <f>SUM(J624:J626)</f>
        <v>22385</v>
      </c>
      <c r="K627" s="289"/>
      <c r="L627" s="288"/>
      <c r="M627" s="334">
        <f>SUM(M623:M626)</f>
        <v>11500</v>
      </c>
      <c r="N627" s="335">
        <f>SUM(N623:N626)</f>
        <v>0</v>
      </c>
      <c r="O627" s="336">
        <f>SUM(O623:O626)</f>
        <v>7000</v>
      </c>
      <c r="P627" s="338">
        <f>SUM(M627:O627)</f>
        <v>18500</v>
      </c>
      <c r="Q627" s="198"/>
      <c r="R627" s="280"/>
    </row>
    <row r="628" spans="1:18" s="49" customFormat="1" ht="30" customHeight="1" x14ac:dyDescent="0.2">
      <c r="A628" s="276"/>
      <c r="B628" s="189"/>
      <c r="C628" s="66"/>
      <c r="D628" s="6"/>
      <c r="E628" s="7"/>
      <c r="F628" s="8"/>
      <c r="G628" s="8"/>
      <c r="H628" s="9"/>
      <c r="I628" s="50"/>
      <c r="J628" s="50"/>
      <c r="K628" s="190"/>
      <c r="L628" s="189"/>
      <c r="M628" s="54"/>
      <c r="N628" s="54"/>
      <c r="O628" s="54"/>
      <c r="P628" s="55"/>
      <c r="Q628" s="190"/>
      <c r="R628" s="276"/>
    </row>
    <row r="629" spans="1:18" s="51" customFormat="1" ht="15" customHeight="1" x14ac:dyDescent="0.2">
      <c r="A629" s="280"/>
      <c r="B629" s="201"/>
      <c r="C629" s="301">
        <v>15</v>
      </c>
      <c r="D629" s="306" t="s">
        <v>273</v>
      </c>
      <c r="E629" s="328" t="s">
        <v>82</v>
      </c>
      <c r="F629" s="329" t="s">
        <v>41</v>
      </c>
      <c r="G629" s="330" t="s">
        <v>42</v>
      </c>
      <c r="H629" s="326" t="s">
        <v>58</v>
      </c>
      <c r="I629" s="331" t="s">
        <v>61</v>
      </c>
      <c r="J629" s="331" t="s">
        <v>139</v>
      </c>
      <c r="K629" s="202"/>
      <c r="L629" s="201"/>
      <c r="M629" s="332" t="s">
        <v>97</v>
      </c>
      <c r="N629" s="332" t="s">
        <v>26</v>
      </c>
      <c r="O629" s="332" t="s">
        <v>60</v>
      </c>
      <c r="P629" s="327" t="s">
        <v>58</v>
      </c>
      <c r="Q629" s="202"/>
      <c r="R629" s="280"/>
    </row>
    <row r="630" spans="1:18" s="177" customFormat="1" ht="15" customHeight="1" x14ac:dyDescent="0.2">
      <c r="A630" s="282"/>
      <c r="B630" s="231"/>
      <c r="C630" s="65"/>
      <c r="D630" s="430" t="s">
        <v>276</v>
      </c>
      <c r="E630" s="228"/>
      <c r="F630" s="229"/>
      <c r="G630" s="112"/>
      <c r="H630" s="86"/>
      <c r="I630" s="171"/>
      <c r="J630" s="165"/>
      <c r="K630" s="230"/>
      <c r="L630" s="231"/>
      <c r="M630" s="232"/>
      <c r="N630" s="233"/>
      <c r="O630" s="234"/>
      <c r="P630" s="31"/>
      <c r="Q630" s="230"/>
      <c r="R630" s="282"/>
    </row>
    <row r="631" spans="1:18" s="177" customFormat="1" ht="15" customHeight="1" x14ac:dyDescent="0.2">
      <c r="A631" s="282"/>
      <c r="B631" s="231"/>
      <c r="C631" s="65"/>
      <c r="D631" s="370" t="s">
        <v>274</v>
      </c>
      <c r="E631" s="228"/>
      <c r="F631" s="86"/>
      <c r="G631" s="112"/>
      <c r="H631" s="88"/>
      <c r="I631" s="169"/>
      <c r="J631" s="80"/>
      <c r="K631" s="230"/>
      <c r="L631" s="231"/>
      <c r="M631" s="228"/>
      <c r="N631" s="86"/>
      <c r="O631" s="112"/>
      <c r="P631" s="119"/>
      <c r="Q631" s="230"/>
      <c r="R631" s="282"/>
    </row>
    <row r="632" spans="1:18" s="177" customFormat="1" ht="15" customHeight="1" x14ac:dyDescent="0.2">
      <c r="A632" s="282"/>
      <c r="B632" s="231"/>
      <c r="C632" s="65"/>
      <c r="D632" s="370" t="s">
        <v>279</v>
      </c>
      <c r="E632" s="228"/>
      <c r="F632" s="86"/>
      <c r="G632" s="112"/>
      <c r="H632" s="88"/>
      <c r="I632" s="169"/>
      <c r="J632" s="80"/>
      <c r="K632" s="230"/>
      <c r="L632" s="231"/>
      <c r="M632" s="228"/>
      <c r="N632" s="86"/>
      <c r="O632" s="112"/>
      <c r="P632" s="119"/>
      <c r="Q632" s="230"/>
      <c r="R632" s="282"/>
    </row>
    <row r="633" spans="1:18" s="177" customFormat="1" ht="15" customHeight="1" x14ac:dyDescent="0.2">
      <c r="A633" s="282"/>
      <c r="B633" s="231"/>
      <c r="C633" s="65"/>
      <c r="D633" s="241"/>
      <c r="E633" s="78" t="s">
        <v>266</v>
      </c>
      <c r="F633" s="84">
        <v>65000</v>
      </c>
      <c r="G633" s="84">
        <v>4</v>
      </c>
      <c r="H633" s="84">
        <f>+F633*G633</f>
        <v>260000</v>
      </c>
      <c r="I633" s="94">
        <f>H633*21%</f>
        <v>54600</v>
      </c>
      <c r="J633" s="94">
        <f>H633+I633</f>
        <v>314600</v>
      </c>
      <c r="K633" s="230"/>
      <c r="L633" s="231"/>
      <c r="M633" s="84"/>
      <c r="N633" s="84"/>
      <c r="O633" s="84">
        <f>H633-N633</f>
        <v>260000</v>
      </c>
      <c r="P633" s="31"/>
      <c r="Q633" s="230"/>
      <c r="R633" s="282"/>
    </row>
    <row r="634" spans="1:18" s="177" customFormat="1" ht="15" customHeight="1" x14ac:dyDescent="0.2">
      <c r="A634" s="282"/>
      <c r="B634" s="231"/>
      <c r="C634" s="65"/>
      <c r="D634" s="270" t="s">
        <v>275</v>
      </c>
      <c r="E634" s="228"/>
      <c r="F634" s="229"/>
      <c r="G634" s="112"/>
      <c r="H634" s="86"/>
      <c r="I634" s="171"/>
      <c r="J634" s="165"/>
      <c r="K634" s="230"/>
      <c r="L634" s="231"/>
      <c r="M634" s="232"/>
      <c r="N634" s="233"/>
      <c r="O634" s="234"/>
      <c r="P634" s="31"/>
      <c r="Q634" s="230"/>
      <c r="R634" s="282"/>
    </row>
    <row r="635" spans="1:18" s="177" customFormat="1" ht="15" customHeight="1" x14ac:dyDescent="0.2">
      <c r="A635" s="282"/>
      <c r="B635" s="231"/>
      <c r="C635" s="65"/>
      <c r="D635" s="241" t="s">
        <v>277</v>
      </c>
      <c r="E635" s="78" t="s">
        <v>278</v>
      </c>
      <c r="F635" s="84">
        <v>4400</v>
      </c>
      <c r="G635" s="84">
        <v>13</v>
      </c>
      <c r="H635" s="84">
        <f>+F635*G635</f>
        <v>57200</v>
      </c>
      <c r="I635" s="94">
        <f>H635*21%</f>
        <v>12012</v>
      </c>
      <c r="J635" s="94">
        <f>H635+I635</f>
        <v>69212</v>
      </c>
      <c r="K635" s="230"/>
      <c r="L635" s="231"/>
      <c r="M635" s="84"/>
      <c r="N635" s="84"/>
      <c r="O635" s="84">
        <f>H635-N635</f>
        <v>57200</v>
      </c>
      <c r="P635" s="31"/>
      <c r="Q635" s="230"/>
      <c r="R635" s="282"/>
    </row>
    <row r="636" spans="1:18" s="51" customFormat="1" ht="15" customHeight="1" x14ac:dyDescent="0.2">
      <c r="A636" s="280"/>
      <c r="B636" s="197"/>
      <c r="C636" s="145">
        <f>SUM(C633:C635)</f>
        <v>0</v>
      </c>
      <c r="D636" s="144"/>
      <c r="E636" s="103"/>
      <c r="F636" s="481" t="s">
        <v>19</v>
      </c>
      <c r="G636" s="482"/>
      <c r="H636" s="337">
        <f>SUM(H633:H635)</f>
        <v>317200</v>
      </c>
      <c r="I636" s="333">
        <f>SUM(I630:I635)</f>
        <v>66612</v>
      </c>
      <c r="J636" s="333">
        <f>SUM(J630:J635)</f>
        <v>383812</v>
      </c>
      <c r="K636" s="289"/>
      <c r="L636" s="288"/>
      <c r="M636" s="334">
        <f>SUM(M630:M635)</f>
        <v>0</v>
      </c>
      <c r="N636" s="335">
        <f>SUM(N630:N635)</f>
        <v>0</v>
      </c>
      <c r="O636" s="336">
        <f>SUM(O630:O635)</f>
        <v>317200</v>
      </c>
      <c r="P636" s="338">
        <f>SUM(M636:O636)</f>
        <v>317200</v>
      </c>
      <c r="Q636" s="198"/>
      <c r="R636" s="280"/>
    </row>
    <row r="637" spans="1:18" s="49" customFormat="1" ht="30" customHeight="1" x14ac:dyDescent="0.2">
      <c r="A637" s="276"/>
      <c r="B637" s="189"/>
      <c r="C637" s="226"/>
      <c r="D637" s="6"/>
      <c r="E637" s="7"/>
      <c r="F637" s="8"/>
      <c r="G637" s="8"/>
      <c r="H637" s="9"/>
      <c r="I637" s="50"/>
      <c r="J637" s="50"/>
      <c r="K637" s="190"/>
      <c r="L637" s="189"/>
      <c r="M637" s="54"/>
      <c r="N637" s="54"/>
      <c r="O637" s="54"/>
      <c r="P637" s="55"/>
      <c r="Q637" s="190"/>
      <c r="R637" s="276"/>
    </row>
    <row r="638" spans="1:18" s="51" customFormat="1" ht="15" customHeight="1" x14ac:dyDescent="0.2">
      <c r="A638" s="280"/>
      <c r="B638" s="201"/>
      <c r="C638" s="301">
        <v>16</v>
      </c>
      <c r="D638" s="306" t="s">
        <v>28</v>
      </c>
      <c r="E638" s="328" t="s">
        <v>102</v>
      </c>
      <c r="F638" s="329" t="s">
        <v>41</v>
      </c>
      <c r="G638" s="330" t="s">
        <v>42</v>
      </c>
      <c r="H638" s="326" t="s">
        <v>35</v>
      </c>
      <c r="I638" s="331" t="s">
        <v>62</v>
      </c>
      <c r="J638" s="331" t="s">
        <v>58</v>
      </c>
      <c r="K638" s="202"/>
      <c r="L638" s="201"/>
      <c r="M638" s="332" t="s">
        <v>97</v>
      </c>
      <c r="N638" s="332" t="s">
        <v>26</v>
      </c>
      <c r="O638" s="332" t="s">
        <v>60</v>
      </c>
      <c r="P638" s="327" t="s">
        <v>58</v>
      </c>
      <c r="Q638" s="202"/>
      <c r="R638" s="280"/>
    </row>
    <row r="639" spans="1:18" ht="15" customHeight="1" x14ac:dyDescent="0.2">
      <c r="A639" s="276"/>
      <c r="B639" s="195"/>
      <c r="C639" s="64"/>
      <c r="D639" s="271" t="s">
        <v>238</v>
      </c>
      <c r="E639" s="228"/>
      <c r="F639" s="86"/>
      <c r="G639" s="106"/>
      <c r="H639" s="32"/>
      <c r="I639" s="169"/>
      <c r="J639" s="80"/>
      <c r="K639" s="196"/>
      <c r="L639" s="195"/>
      <c r="M639" s="109"/>
      <c r="N639" s="34"/>
      <c r="O639" s="106"/>
      <c r="P639" s="31"/>
      <c r="Q639" s="196"/>
      <c r="R639" s="276"/>
    </row>
    <row r="640" spans="1:18" ht="15" customHeight="1" x14ac:dyDescent="0.2">
      <c r="A640" s="276"/>
      <c r="B640" s="195"/>
      <c r="C640" s="64"/>
      <c r="D640" s="371" t="s">
        <v>281</v>
      </c>
      <c r="E640" s="228"/>
      <c r="F640" s="86"/>
      <c r="G640" s="106"/>
      <c r="H640" s="32"/>
      <c r="I640" s="169"/>
      <c r="J640" s="80"/>
      <c r="K640" s="196"/>
      <c r="L640" s="195"/>
      <c r="M640" s="109"/>
      <c r="N640" s="34"/>
      <c r="O640" s="106"/>
      <c r="P640" s="31"/>
      <c r="Q640" s="196"/>
      <c r="R640" s="276"/>
    </row>
    <row r="641" spans="1:18" ht="15" customHeight="1" x14ac:dyDescent="0.2">
      <c r="A641" s="276"/>
      <c r="B641" s="195"/>
      <c r="C641" s="64"/>
      <c r="D641" s="371" t="s">
        <v>280</v>
      </c>
      <c r="E641" s="228"/>
      <c r="F641" s="86"/>
      <c r="G641" s="106"/>
      <c r="H641" s="32"/>
      <c r="I641" s="169"/>
      <c r="J641" s="80"/>
      <c r="K641" s="196"/>
      <c r="L641" s="195"/>
      <c r="M641" s="109"/>
      <c r="N641" s="34"/>
      <c r="O641" s="106"/>
      <c r="P641" s="31"/>
      <c r="Q641" s="196"/>
      <c r="R641" s="276"/>
    </row>
    <row r="642" spans="1:18" s="177" customFormat="1" ht="15" customHeight="1" x14ac:dyDescent="0.2">
      <c r="A642" s="282"/>
      <c r="B642" s="205"/>
      <c r="C642" s="65"/>
      <c r="D642" s="236"/>
      <c r="E642" s="91" t="s">
        <v>222</v>
      </c>
      <c r="F642" s="84">
        <v>8100</v>
      </c>
      <c r="G642" s="84">
        <v>13</v>
      </c>
      <c r="H642" s="84">
        <f>+F642*G642</f>
        <v>105300</v>
      </c>
      <c r="I642" s="94">
        <f>H642*21%</f>
        <v>22113</v>
      </c>
      <c r="J642" s="94">
        <f>H642+I642</f>
        <v>127413</v>
      </c>
      <c r="K642" s="206"/>
      <c r="L642" s="205"/>
      <c r="M642" s="84"/>
      <c r="N642" s="84">
        <f>H642*30%</f>
        <v>31590</v>
      </c>
      <c r="O642" s="84">
        <f>H642-N642</f>
        <v>73710</v>
      </c>
      <c r="P642" s="31"/>
      <c r="Q642" s="206"/>
      <c r="R642" s="282"/>
    </row>
    <row r="643" spans="1:18" s="51" customFormat="1" ht="15" customHeight="1" x14ac:dyDescent="0.2">
      <c r="A643" s="280"/>
      <c r="B643" s="197"/>
      <c r="C643" s="145">
        <f>SUM(C639:C642)</f>
        <v>0</v>
      </c>
      <c r="D643" s="144"/>
      <c r="E643" s="103"/>
      <c r="F643" s="481" t="s">
        <v>322</v>
      </c>
      <c r="G643" s="482"/>
      <c r="H643" s="337">
        <f>SUM(H639:H642)</f>
        <v>105300</v>
      </c>
      <c r="I643" s="333">
        <f>SUM(I639:I642)</f>
        <v>22113</v>
      </c>
      <c r="J643" s="333">
        <f>SUM(J639:J642)</f>
        <v>127413</v>
      </c>
      <c r="K643" s="289"/>
      <c r="L643" s="288"/>
      <c r="M643" s="334">
        <f>SUM(M639:M642)</f>
        <v>0</v>
      </c>
      <c r="N643" s="335">
        <f>SUM(N639:N642)</f>
        <v>31590</v>
      </c>
      <c r="O643" s="336">
        <f>SUM(O639:O642)</f>
        <v>73710</v>
      </c>
      <c r="P643" s="338">
        <f>SUM(M643:O643)</f>
        <v>105300</v>
      </c>
      <c r="Q643" s="198"/>
      <c r="R643" s="280"/>
    </row>
    <row r="644" spans="1:18" s="49" customFormat="1" ht="30" customHeight="1" x14ac:dyDescent="0.2">
      <c r="A644" s="276"/>
      <c r="B644" s="189"/>
      <c r="C644" s="66"/>
      <c r="D644" s="6"/>
      <c r="E644" s="7"/>
      <c r="F644" s="8"/>
      <c r="G644" s="8"/>
      <c r="H644" s="9"/>
      <c r="I644" s="50"/>
      <c r="J644" s="50"/>
      <c r="K644" s="190"/>
      <c r="L644" s="189"/>
      <c r="M644" s="54"/>
      <c r="N644" s="54"/>
      <c r="O644" s="54"/>
      <c r="P644" s="55"/>
      <c r="Q644" s="190"/>
      <c r="R644" s="276"/>
    </row>
    <row r="645" spans="1:18" s="51" customFormat="1" ht="15" customHeight="1" x14ac:dyDescent="0.2">
      <c r="A645" s="280"/>
      <c r="B645" s="201"/>
      <c r="C645" s="301">
        <v>17</v>
      </c>
      <c r="D645" s="306" t="s">
        <v>345</v>
      </c>
      <c r="E645" s="328" t="s">
        <v>82</v>
      </c>
      <c r="F645" s="329" t="s">
        <v>41</v>
      </c>
      <c r="G645" s="330" t="s">
        <v>42</v>
      </c>
      <c r="H645" s="326" t="s">
        <v>58</v>
      </c>
      <c r="I645" s="331" t="s">
        <v>61</v>
      </c>
      <c r="J645" s="331" t="s">
        <v>139</v>
      </c>
      <c r="K645" s="202"/>
      <c r="L645" s="201"/>
      <c r="M645" s="332" t="s">
        <v>97</v>
      </c>
      <c r="N645" s="332" t="s">
        <v>26</v>
      </c>
      <c r="O645" s="332" t="s">
        <v>60</v>
      </c>
      <c r="P645" s="327" t="s">
        <v>58</v>
      </c>
      <c r="Q645" s="202"/>
      <c r="R645" s="280"/>
    </row>
    <row r="646" spans="1:18" ht="15" customHeight="1" x14ac:dyDescent="0.2">
      <c r="A646" s="276"/>
      <c r="B646" s="195"/>
      <c r="C646" s="64"/>
      <c r="D646" s="266" t="s">
        <v>326</v>
      </c>
      <c r="E646" s="176"/>
      <c r="F646" s="83"/>
      <c r="G646" s="157"/>
      <c r="H646" s="77"/>
      <c r="I646" s="171"/>
      <c r="J646" s="165"/>
      <c r="K646" s="196"/>
      <c r="L646" s="195"/>
      <c r="M646" s="262"/>
      <c r="N646" s="83"/>
      <c r="O646" s="157"/>
      <c r="P646" s="31"/>
      <c r="Q646" s="196"/>
      <c r="R646" s="276"/>
    </row>
    <row r="647" spans="1:18" ht="15" customHeight="1" x14ac:dyDescent="0.2">
      <c r="A647" s="276"/>
      <c r="B647" s="195"/>
      <c r="C647" s="64"/>
      <c r="D647" s="371" t="s">
        <v>323</v>
      </c>
      <c r="E647" s="228"/>
      <c r="F647" s="86"/>
      <c r="G647" s="106"/>
      <c r="H647" s="32"/>
      <c r="I647" s="169"/>
      <c r="J647" s="80"/>
      <c r="K647" s="196"/>
      <c r="L647" s="195"/>
      <c r="M647" s="109"/>
      <c r="N647" s="34"/>
      <c r="O647" s="106"/>
      <c r="P647" s="31"/>
      <c r="Q647" s="196"/>
      <c r="R647" s="276"/>
    </row>
    <row r="648" spans="1:18" ht="15" customHeight="1" x14ac:dyDescent="0.2">
      <c r="A648" s="276"/>
      <c r="B648" s="195"/>
      <c r="C648" s="64"/>
      <c r="D648" s="371" t="s">
        <v>324</v>
      </c>
      <c r="E648" s="228"/>
      <c r="F648" s="86"/>
      <c r="G648" s="106"/>
      <c r="H648" s="32"/>
      <c r="I648" s="169"/>
      <c r="J648" s="80"/>
      <c r="K648" s="196"/>
      <c r="L648" s="195"/>
      <c r="M648" s="110"/>
      <c r="N648" s="111"/>
      <c r="O648" s="29"/>
      <c r="P648" s="31"/>
      <c r="Q648" s="196"/>
      <c r="R648" s="276"/>
    </row>
    <row r="649" spans="1:18" ht="15" customHeight="1" x14ac:dyDescent="0.2">
      <c r="A649" s="276"/>
      <c r="B649" s="195"/>
      <c r="C649" s="64"/>
      <c r="D649" s="441" t="s">
        <v>325</v>
      </c>
      <c r="E649" s="91" t="s">
        <v>225</v>
      </c>
      <c r="F649" s="84">
        <v>35000</v>
      </c>
      <c r="G649" s="28">
        <v>13</v>
      </c>
      <c r="H649" s="28">
        <f>F649*G649</f>
        <v>455000</v>
      </c>
      <c r="I649" s="94">
        <f>H649*21%</f>
        <v>95550</v>
      </c>
      <c r="J649" s="94">
        <f>H649+I649</f>
        <v>550550</v>
      </c>
      <c r="K649" s="196"/>
      <c r="L649" s="195"/>
      <c r="M649" s="28">
        <f>H649/6</f>
        <v>75833.333333333328</v>
      </c>
      <c r="N649" s="28">
        <f>H649-M649</f>
        <v>379166.66666666669</v>
      </c>
      <c r="O649" s="28"/>
      <c r="P649" s="31"/>
      <c r="Q649" s="196"/>
      <c r="R649" s="276"/>
    </row>
    <row r="650" spans="1:18" ht="15" customHeight="1" x14ac:dyDescent="0.2">
      <c r="A650" s="276"/>
      <c r="B650" s="195"/>
      <c r="C650" s="64"/>
      <c r="D650" s="267" t="s">
        <v>240</v>
      </c>
      <c r="E650" s="176"/>
      <c r="F650" s="83"/>
      <c r="G650" s="157"/>
      <c r="H650" s="77"/>
      <c r="I650" s="171"/>
      <c r="J650" s="165"/>
      <c r="K650" s="196"/>
      <c r="L650" s="195"/>
      <c r="M650" s="262"/>
      <c r="N650" s="83"/>
      <c r="O650" s="157"/>
      <c r="P650" s="31"/>
      <c r="Q650" s="196"/>
      <c r="R650" s="276"/>
    </row>
    <row r="651" spans="1:18" ht="15" customHeight="1" x14ac:dyDescent="0.2">
      <c r="A651" s="276"/>
      <c r="B651" s="195"/>
      <c r="C651" s="64"/>
      <c r="D651" s="484" t="s">
        <v>241</v>
      </c>
      <c r="E651" s="228"/>
      <c r="F651" s="86"/>
      <c r="G651" s="106"/>
      <c r="H651" s="32"/>
      <c r="I651" s="169"/>
      <c r="J651" s="80"/>
      <c r="K651" s="196"/>
      <c r="L651" s="195"/>
      <c r="M651" s="109"/>
      <c r="N651" s="34"/>
      <c r="O651" s="106"/>
      <c r="P651" s="31"/>
      <c r="Q651" s="196"/>
      <c r="R651" s="276"/>
    </row>
    <row r="652" spans="1:18" ht="15" customHeight="1" x14ac:dyDescent="0.2">
      <c r="A652" s="276"/>
      <c r="B652" s="195"/>
      <c r="C652" s="64"/>
      <c r="D652" s="485"/>
      <c r="E652" s="295"/>
      <c r="F652" s="126"/>
      <c r="G652" s="29"/>
      <c r="H652" s="32"/>
      <c r="I652" s="169"/>
      <c r="J652" s="80"/>
      <c r="K652" s="196"/>
      <c r="L652" s="195"/>
      <c r="M652" s="110"/>
      <c r="N652" s="111"/>
      <c r="O652" s="29"/>
      <c r="P652" s="31"/>
      <c r="Q652" s="196"/>
      <c r="R652" s="276"/>
    </row>
    <row r="653" spans="1:18" ht="69.95" customHeight="1" x14ac:dyDescent="0.2">
      <c r="A653" s="276"/>
      <c r="B653" s="195"/>
      <c r="C653" s="64"/>
      <c r="D653" s="486"/>
      <c r="E653" s="91" t="s">
        <v>225</v>
      </c>
      <c r="F653" s="84">
        <v>3600</v>
      </c>
      <c r="G653" s="28">
        <v>13</v>
      </c>
      <c r="H653" s="28">
        <f>F653*G653</f>
        <v>46800</v>
      </c>
      <c r="I653" s="94">
        <f>H653*21%</f>
        <v>9828</v>
      </c>
      <c r="J653" s="94">
        <f>H653+I653</f>
        <v>56628</v>
      </c>
      <c r="K653" s="196"/>
      <c r="L653" s="195"/>
      <c r="M653" s="28">
        <f>H653/6</f>
        <v>7800</v>
      </c>
      <c r="N653" s="28">
        <f>H653-M653</f>
        <v>39000</v>
      </c>
      <c r="O653" s="28"/>
      <c r="P653" s="31"/>
      <c r="Q653" s="196"/>
      <c r="R653" s="276"/>
    </row>
    <row r="654" spans="1:18" ht="15" customHeight="1" x14ac:dyDescent="0.2">
      <c r="A654" s="276"/>
      <c r="B654" s="195"/>
      <c r="C654" s="64"/>
      <c r="D654" s="267" t="s">
        <v>123</v>
      </c>
      <c r="E654" s="176"/>
      <c r="F654" s="83"/>
      <c r="G654" s="157"/>
      <c r="H654" s="77"/>
      <c r="I654" s="171"/>
      <c r="J654" s="165"/>
      <c r="K654" s="196"/>
      <c r="L654" s="195"/>
      <c r="M654" s="262"/>
      <c r="N654" s="83"/>
      <c r="O654" s="157"/>
      <c r="P654" s="31"/>
      <c r="Q654" s="196"/>
      <c r="R654" s="276"/>
    </row>
    <row r="655" spans="1:18" ht="15" customHeight="1" x14ac:dyDescent="0.2">
      <c r="A655" s="276"/>
      <c r="B655" s="195"/>
      <c r="C655" s="64"/>
      <c r="D655" s="76" t="s">
        <v>327</v>
      </c>
      <c r="E655" s="228"/>
      <c r="F655" s="86"/>
      <c r="G655" s="106"/>
      <c r="H655" s="32"/>
      <c r="I655" s="169"/>
      <c r="J655" s="80"/>
      <c r="K655" s="196"/>
      <c r="L655" s="195"/>
      <c r="M655" s="109"/>
      <c r="N655" s="34"/>
      <c r="O655" s="106"/>
      <c r="P655" s="31"/>
      <c r="Q655" s="196"/>
      <c r="R655" s="276"/>
    </row>
    <row r="656" spans="1:18" ht="15" customHeight="1" x14ac:dyDescent="0.2">
      <c r="A656" s="276"/>
      <c r="B656" s="195"/>
      <c r="C656" s="64"/>
      <c r="D656" s="76" t="s">
        <v>328</v>
      </c>
      <c r="E656" s="295"/>
      <c r="F656" s="126"/>
      <c r="G656" s="106"/>
      <c r="H656" s="32"/>
      <c r="I656" s="170"/>
      <c r="J656" s="81"/>
      <c r="K656" s="196"/>
      <c r="L656" s="195"/>
      <c r="M656" s="110"/>
      <c r="N656" s="111"/>
      <c r="O656" s="29"/>
      <c r="P656" s="31"/>
      <c r="Q656" s="196"/>
      <c r="R656" s="276"/>
    </row>
    <row r="657" spans="1:20" ht="15" customHeight="1" x14ac:dyDescent="0.2">
      <c r="A657" s="276"/>
      <c r="B657" s="195"/>
      <c r="C657" s="64"/>
      <c r="D657" s="442" t="s">
        <v>329</v>
      </c>
      <c r="E657" s="91" t="s">
        <v>225</v>
      </c>
      <c r="F657" s="84">
        <v>28000</v>
      </c>
      <c r="G657" s="28">
        <v>13</v>
      </c>
      <c r="H657" s="28">
        <f>F657*G657</f>
        <v>364000</v>
      </c>
      <c r="I657" s="94">
        <f>H657*21%</f>
        <v>76440</v>
      </c>
      <c r="J657" s="94">
        <f>H657+I657</f>
        <v>440440</v>
      </c>
      <c r="K657" s="196"/>
      <c r="L657" s="195"/>
      <c r="M657" s="28">
        <f>H657/6</f>
        <v>60666.666666666664</v>
      </c>
      <c r="N657" s="28">
        <f>H657-M657</f>
        <v>303333.33333333331</v>
      </c>
      <c r="O657" s="28"/>
      <c r="P657" s="31"/>
      <c r="Q657" s="196"/>
      <c r="R657" s="276"/>
    </row>
    <row r="658" spans="1:20" ht="15" customHeight="1" x14ac:dyDescent="0.2">
      <c r="A658" s="276"/>
      <c r="B658" s="195"/>
      <c r="C658" s="64"/>
      <c r="D658" s="267" t="s">
        <v>124</v>
      </c>
      <c r="E658" s="176"/>
      <c r="F658" s="83"/>
      <c r="G658" s="157"/>
      <c r="H658" s="77"/>
      <c r="I658" s="169"/>
      <c r="J658" s="80"/>
      <c r="K658" s="196"/>
      <c r="L658" s="195"/>
      <c r="M658" s="262"/>
      <c r="N658" s="83"/>
      <c r="O658" s="157"/>
      <c r="P658" s="31"/>
      <c r="Q658" s="196"/>
      <c r="R658" s="276"/>
      <c r="T658" s="296"/>
    </row>
    <row r="659" spans="1:20" ht="15" customHeight="1" x14ac:dyDescent="0.2">
      <c r="A659" s="276"/>
      <c r="B659" s="195"/>
      <c r="C659" s="64"/>
      <c r="D659" s="371" t="s">
        <v>330</v>
      </c>
      <c r="E659" s="228"/>
      <c r="F659" s="86"/>
      <c r="G659" s="106"/>
      <c r="H659" s="32"/>
      <c r="I659" s="169"/>
      <c r="J659" s="80"/>
      <c r="K659" s="196"/>
      <c r="L659" s="195"/>
      <c r="M659" s="109"/>
      <c r="N659" s="34"/>
      <c r="O659" s="106"/>
      <c r="P659" s="31"/>
      <c r="Q659" s="196"/>
      <c r="R659" s="276"/>
    </row>
    <row r="660" spans="1:20" ht="15" customHeight="1" x14ac:dyDescent="0.2">
      <c r="A660" s="276"/>
      <c r="B660" s="195"/>
      <c r="C660" s="64"/>
      <c r="D660" s="371" t="s">
        <v>289</v>
      </c>
      <c r="E660" s="91" t="s">
        <v>225</v>
      </c>
      <c r="F660" s="84">
        <v>3500</v>
      </c>
      <c r="G660" s="28">
        <v>13</v>
      </c>
      <c r="H660" s="28">
        <f>F660*G660</f>
        <v>45500</v>
      </c>
      <c r="I660" s="94">
        <f>H660*21%</f>
        <v>9555</v>
      </c>
      <c r="J660" s="94">
        <f>H660+I660</f>
        <v>55055</v>
      </c>
      <c r="K660" s="196"/>
      <c r="L660" s="195"/>
      <c r="M660" s="110">
        <v>5500</v>
      </c>
      <c r="N660" s="111">
        <v>40000</v>
      </c>
      <c r="O660" s="29"/>
      <c r="P660" s="31"/>
      <c r="Q660" s="196"/>
      <c r="R660" s="276"/>
    </row>
    <row r="661" spans="1:20" ht="15" customHeight="1" x14ac:dyDescent="0.2">
      <c r="A661" s="276"/>
      <c r="B661" s="195"/>
      <c r="C661" s="64"/>
      <c r="D661" s="272" t="s">
        <v>150</v>
      </c>
      <c r="E661" s="154"/>
      <c r="F661" s="79"/>
      <c r="G661" s="157"/>
      <c r="H661" s="28"/>
      <c r="I661" s="174"/>
      <c r="J661" s="93"/>
      <c r="K661" s="196"/>
      <c r="L661" s="195"/>
      <c r="M661" s="154"/>
      <c r="N661" s="79"/>
      <c r="O661" s="157"/>
      <c r="P661" s="119"/>
      <c r="Q661" s="196"/>
      <c r="R661" s="276"/>
    </row>
    <row r="662" spans="1:20" ht="15" customHeight="1" x14ac:dyDescent="0.2">
      <c r="A662" s="276"/>
      <c r="B662" s="195"/>
      <c r="C662" s="64"/>
      <c r="D662" s="117" t="s">
        <v>337</v>
      </c>
      <c r="E662" s="78" t="s">
        <v>221</v>
      </c>
      <c r="F662" s="28">
        <v>15000</v>
      </c>
      <c r="G662" s="431">
        <v>1</v>
      </c>
      <c r="H662" s="28">
        <f>+F662*G662</f>
        <v>15000</v>
      </c>
      <c r="I662" s="94">
        <f>H662*21%</f>
        <v>3150</v>
      </c>
      <c r="J662" s="94">
        <f>H662+I662</f>
        <v>18150</v>
      </c>
      <c r="K662" s="196"/>
      <c r="L662" s="195"/>
      <c r="M662" s="28"/>
      <c r="N662" s="28"/>
      <c r="O662" s="28">
        <f>H662</f>
        <v>15000</v>
      </c>
      <c r="P662" s="31"/>
      <c r="Q662" s="196"/>
      <c r="R662" s="276"/>
    </row>
    <row r="663" spans="1:20" s="177" customFormat="1" ht="15" customHeight="1" x14ac:dyDescent="0.2">
      <c r="A663" s="282"/>
      <c r="B663" s="205"/>
      <c r="C663" s="65"/>
      <c r="D663" s="266" t="s">
        <v>34</v>
      </c>
      <c r="E663" s="228"/>
      <c r="F663" s="229"/>
      <c r="G663" s="112"/>
      <c r="H663" s="86"/>
      <c r="I663" s="171"/>
      <c r="J663" s="165"/>
      <c r="K663" s="230"/>
      <c r="L663" s="231"/>
      <c r="M663" s="232"/>
      <c r="N663" s="233"/>
      <c r="O663" s="234"/>
      <c r="P663" s="31"/>
      <c r="Q663" s="206"/>
      <c r="R663" s="282"/>
    </row>
    <row r="664" spans="1:20" ht="15" customHeight="1" x14ac:dyDescent="0.2">
      <c r="A664" s="276"/>
      <c r="B664" s="195"/>
      <c r="C664" s="64"/>
      <c r="D664" s="371" t="s">
        <v>331</v>
      </c>
      <c r="E664" s="228"/>
      <c r="F664" s="86"/>
      <c r="G664" s="106"/>
      <c r="H664" s="32"/>
      <c r="I664" s="169"/>
      <c r="J664" s="80"/>
      <c r="K664" s="196"/>
      <c r="L664" s="195"/>
      <c r="M664" s="262"/>
      <c r="N664" s="83"/>
      <c r="O664" s="157"/>
      <c r="P664" s="31"/>
      <c r="Q664" s="196"/>
      <c r="R664" s="276"/>
    </row>
    <row r="665" spans="1:20" ht="15" customHeight="1" x14ac:dyDescent="0.2">
      <c r="A665" s="276"/>
      <c r="B665" s="195"/>
      <c r="C665" s="64"/>
      <c r="D665" s="76" t="s">
        <v>332</v>
      </c>
      <c r="E665" s="228"/>
      <c r="F665" s="86"/>
      <c r="G665" s="106"/>
      <c r="H665" s="32"/>
      <c r="I665" s="169"/>
      <c r="J665" s="80"/>
      <c r="K665" s="196"/>
      <c r="L665" s="195"/>
      <c r="M665" s="228"/>
      <c r="N665" s="86"/>
      <c r="O665" s="112"/>
      <c r="P665" s="31"/>
      <c r="Q665" s="196"/>
      <c r="R665" s="276"/>
    </row>
    <row r="666" spans="1:20" ht="15" customHeight="1" x14ac:dyDescent="0.2">
      <c r="A666" s="276"/>
      <c r="B666" s="195"/>
      <c r="C666" s="64"/>
      <c r="D666" s="371" t="s">
        <v>333</v>
      </c>
      <c r="E666" s="228"/>
      <c r="F666" s="86"/>
      <c r="G666" s="106"/>
      <c r="H666" s="32"/>
      <c r="I666" s="169"/>
      <c r="J666" s="80"/>
      <c r="K666" s="196"/>
      <c r="L666" s="195"/>
      <c r="M666" s="110"/>
      <c r="N666" s="111"/>
      <c r="O666" s="29"/>
      <c r="P666" s="31"/>
      <c r="Q666" s="196"/>
      <c r="R666" s="276"/>
    </row>
    <row r="667" spans="1:20" ht="15" customHeight="1" x14ac:dyDescent="0.2">
      <c r="A667" s="276"/>
      <c r="B667" s="437"/>
      <c r="C667" s="64"/>
      <c r="D667" s="371" t="s">
        <v>334</v>
      </c>
      <c r="E667" s="228"/>
      <c r="F667" s="86"/>
      <c r="G667" s="106"/>
      <c r="H667" s="32"/>
      <c r="I667" s="169"/>
      <c r="J667" s="80"/>
      <c r="K667" s="438"/>
      <c r="L667" s="437"/>
      <c r="M667" s="110"/>
      <c r="N667" s="111"/>
      <c r="O667" s="29"/>
      <c r="P667" s="31"/>
      <c r="Q667" s="438"/>
      <c r="R667" s="276"/>
    </row>
    <row r="668" spans="1:20" ht="15" customHeight="1" x14ac:dyDescent="0.2">
      <c r="A668" s="276"/>
      <c r="B668" s="195"/>
      <c r="C668" s="64"/>
      <c r="D668" s="371" t="s">
        <v>335</v>
      </c>
      <c r="E668" s="78" t="s">
        <v>66</v>
      </c>
      <c r="F668" s="84">
        <v>40000</v>
      </c>
      <c r="G668" s="28">
        <v>3</v>
      </c>
      <c r="H668" s="28">
        <f>F668*G668</f>
        <v>120000</v>
      </c>
      <c r="I668" s="94">
        <f>H668*21%</f>
        <v>25200</v>
      </c>
      <c r="J668" s="94">
        <f>H668+I668</f>
        <v>145200</v>
      </c>
      <c r="K668" s="196"/>
      <c r="L668" s="195"/>
      <c r="M668" s="28"/>
      <c r="N668" s="28">
        <f>H668</f>
        <v>120000</v>
      </c>
      <c r="O668" s="28"/>
      <c r="P668" s="31"/>
      <c r="Q668" s="196"/>
      <c r="R668" s="276"/>
    </row>
    <row r="669" spans="1:20" s="177" customFormat="1" ht="15" customHeight="1" x14ac:dyDescent="0.2">
      <c r="A669" s="282"/>
      <c r="B669" s="231"/>
      <c r="C669" s="65"/>
      <c r="D669" s="266" t="s">
        <v>151</v>
      </c>
      <c r="E669" s="228"/>
      <c r="F669" s="229"/>
      <c r="G669" s="112"/>
      <c r="H669" s="86"/>
      <c r="I669" s="171"/>
      <c r="J669" s="165"/>
      <c r="K669" s="230"/>
      <c r="L669" s="231"/>
      <c r="M669" s="232"/>
      <c r="N669" s="233"/>
      <c r="O669" s="234"/>
      <c r="P669" s="31"/>
      <c r="Q669" s="230"/>
      <c r="R669" s="282"/>
    </row>
    <row r="670" spans="1:20" s="177" customFormat="1" ht="15" x14ac:dyDescent="0.2">
      <c r="A670" s="282"/>
      <c r="B670" s="231"/>
      <c r="C670" s="65"/>
      <c r="D670" s="235" t="s">
        <v>336</v>
      </c>
      <c r="E670" s="228"/>
      <c r="F670" s="86"/>
      <c r="G670" s="112"/>
      <c r="H670" s="88"/>
      <c r="I670" s="169"/>
      <c r="J670" s="80"/>
      <c r="K670" s="230"/>
      <c r="L670" s="231"/>
      <c r="M670" s="228"/>
      <c r="N670" s="86"/>
      <c r="O670" s="112"/>
      <c r="P670" s="119"/>
      <c r="Q670" s="230"/>
      <c r="R670" s="282"/>
    </row>
    <row r="671" spans="1:20" s="177" customFormat="1" ht="15" x14ac:dyDescent="0.2">
      <c r="A671" s="282"/>
      <c r="B671" s="231"/>
      <c r="C671" s="65"/>
      <c r="D671" s="238"/>
      <c r="E671" s="78" t="s">
        <v>66</v>
      </c>
      <c r="F671" s="84">
        <v>10000</v>
      </c>
      <c r="G671" s="28">
        <v>3</v>
      </c>
      <c r="H671" s="28">
        <f>F671*G671</f>
        <v>30000</v>
      </c>
      <c r="I671" s="94">
        <f>H671*21%</f>
        <v>6300</v>
      </c>
      <c r="J671" s="94">
        <f>H671+I671</f>
        <v>36300</v>
      </c>
      <c r="K671" s="196"/>
      <c r="L671" s="195"/>
      <c r="M671" s="28"/>
      <c r="N671" s="28">
        <f>H671</f>
        <v>30000</v>
      </c>
      <c r="O671" s="28"/>
      <c r="P671" s="119"/>
      <c r="Q671" s="230"/>
      <c r="R671" s="282"/>
    </row>
    <row r="672" spans="1:20" ht="15" customHeight="1" x14ac:dyDescent="0.2">
      <c r="A672" s="276"/>
      <c r="B672" s="195"/>
      <c r="C672" s="64"/>
      <c r="D672" s="272" t="s">
        <v>101</v>
      </c>
      <c r="E672" s="154"/>
      <c r="F672" s="79"/>
      <c r="G672" s="157"/>
      <c r="H672" s="28"/>
      <c r="I672" s="174"/>
      <c r="J672" s="93"/>
      <c r="K672" s="196"/>
      <c r="L672" s="195"/>
      <c r="M672" s="154"/>
      <c r="N672" s="79"/>
      <c r="O672" s="157"/>
      <c r="P672" s="119"/>
      <c r="Q672" s="196"/>
      <c r="R672" s="276"/>
    </row>
    <row r="673" spans="1:18" ht="15" customHeight="1" x14ac:dyDescent="0.2">
      <c r="A673" s="276"/>
      <c r="B673" s="195"/>
      <c r="C673" s="64"/>
      <c r="D673" s="57" t="s">
        <v>146</v>
      </c>
      <c r="E673" s="78" t="s">
        <v>25</v>
      </c>
      <c r="F673" s="28">
        <v>18000</v>
      </c>
      <c r="G673" s="28">
        <v>10</v>
      </c>
      <c r="H673" s="28">
        <f>+F673*G673</f>
        <v>180000</v>
      </c>
      <c r="I673" s="94">
        <f t="shared" ref="I673:I678" si="15">H673*21%</f>
        <v>37800</v>
      </c>
      <c r="J673" s="94">
        <f t="shared" ref="J673:J678" si="16">H673+I673</f>
        <v>217800</v>
      </c>
      <c r="K673" s="196"/>
      <c r="L673" s="195"/>
      <c r="M673" s="28"/>
      <c r="N673" s="28">
        <f>H673</f>
        <v>180000</v>
      </c>
      <c r="O673" s="28"/>
      <c r="P673" s="31"/>
      <c r="Q673" s="196"/>
      <c r="R673" s="276"/>
    </row>
    <row r="674" spans="1:18" ht="15" customHeight="1" x14ac:dyDescent="0.2">
      <c r="A674" s="276"/>
      <c r="B674" s="195"/>
      <c r="C674" s="64"/>
      <c r="D674" s="117" t="s">
        <v>149</v>
      </c>
      <c r="E674" s="78" t="s">
        <v>25</v>
      </c>
      <c r="F674" s="28">
        <v>7780</v>
      </c>
      <c r="G674" s="28">
        <v>1</v>
      </c>
      <c r="H674" s="28">
        <f>+F674*G674</f>
        <v>7780</v>
      </c>
      <c r="I674" s="94">
        <f t="shared" si="15"/>
        <v>1633.8</v>
      </c>
      <c r="J674" s="94">
        <f t="shared" si="16"/>
        <v>9413.7999999999993</v>
      </c>
      <c r="K674" s="196"/>
      <c r="L674" s="195"/>
      <c r="M674" s="28"/>
      <c r="N674" s="28">
        <f>H674</f>
        <v>7780</v>
      </c>
      <c r="O674" s="28"/>
      <c r="P674" s="31"/>
      <c r="Q674" s="196"/>
      <c r="R674" s="276"/>
    </row>
    <row r="675" spans="1:18" ht="15" customHeight="1" x14ac:dyDescent="0.2">
      <c r="A675" s="276"/>
      <c r="B675" s="195"/>
      <c r="C675" s="64"/>
      <c r="D675" s="57" t="s">
        <v>56</v>
      </c>
      <c r="E675" s="78" t="s">
        <v>25</v>
      </c>
      <c r="F675" s="28">
        <v>3544</v>
      </c>
      <c r="G675" s="28">
        <v>5</v>
      </c>
      <c r="H675" s="28">
        <f>+F675*G675</f>
        <v>17720</v>
      </c>
      <c r="I675" s="94">
        <f t="shared" si="15"/>
        <v>3721.2</v>
      </c>
      <c r="J675" s="94">
        <f t="shared" si="16"/>
        <v>21441.200000000001</v>
      </c>
      <c r="K675" s="196"/>
      <c r="L675" s="195"/>
      <c r="M675" s="28"/>
      <c r="N675" s="28">
        <f>H675</f>
        <v>17720</v>
      </c>
      <c r="O675" s="28"/>
      <c r="P675" s="31"/>
      <c r="Q675" s="196"/>
      <c r="R675" s="276"/>
    </row>
    <row r="676" spans="1:18" ht="15" customHeight="1" x14ac:dyDescent="0.2">
      <c r="A676" s="276"/>
      <c r="B676" s="195"/>
      <c r="C676" s="64"/>
      <c r="D676" s="117" t="s">
        <v>162</v>
      </c>
      <c r="E676" s="78" t="s">
        <v>25</v>
      </c>
      <c r="F676" s="28">
        <f>1200*J4</f>
        <v>0</v>
      </c>
      <c r="G676" s="28">
        <v>1</v>
      </c>
      <c r="H676" s="28">
        <f>+F676*G676</f>
        <v>0</v>
      </c>
      <c r="I676" s="94">
        <f t="shared" si="15"/>
        <v>0</v>
      </c>
      <c r="J676" s="94">
        <f t="shared" si="16"/>
        <v>0</v>
      </c>
      <c r="K676" s="196"/>
      <c r="L676" s="195"/>
      <c r="M676" s="28"/>
      <c r="N676" s="28">
        <f>H676</f>
        <v>0</v>
      </c>
      <c r="O676" s="28"/>
      <c r="P676" s="31"/>
      <c r="Q676" s="196"/>
      <c r="R676" s="276"/>
    </row>
    <row r="677" spans="1:18" ht="15" customHeight="1" x14ac:dyDescent="0.2">
      <c r="A677" s="276"/>
      <c r="B677" s="195"/>
      <c r="C677" s="64"/>
      <c r="D677" s="57" t="s">
        <v>10</v>
      </c>
      <c r="E677" s="78" t="s">
        <v>25</v>
      </c>
      <c r="F677" s="28">
        <v>0</v>
      </c>
      <c r="G677" s="28">
        <v>0</v>
      </c>
      <c r="H677" s="28">
        <f>F677*G677</f>
        <v>0</v>
      </c>
      <c r="I677" s="94">
        <f t="shared" si="15"/>
        <v>0</v>
      </c>
      <c r="J677" s="94">
        <f t="shared" si="16"/>
        <v>0</v>
      </c>
      <c r="K677" s="196"/>
      <c r="L677" s="195"/>
      <c r="M677" s="28"/>
      <c r="N677" s="28">
        <f>H677</f>
        <v>0</v>
      </c>
      <c r="O677" s="28"/>
      <c r="P677" s="31"/>
      <c r="Q677" s="196"/>
      <c r="R677" s="276"/>
    </row>
    <row r="678" spans="1:18" ht="15" customHeight="1" x14ac:dyDescent="0.2">
      <c r="A678" s="276"/>
      <c r="B678" s="195"/>
      <c r="C678" s="64"/>
      <c r="D678" s="82" t="s">
        <v>125</v>
      </c>
      <c r="E678" s="91" t="s">
        <v>127</v>
      </c>
      <c r="F678" s="28">
        <v>25000</v>
      </c>
      <c r="G678" s="28">
        <v>1</v>
      </c>
      <c r="H678" s="28">
        <f>F678*G678</f>
        <v>25000</v>
      </c>
      <c r="I678" s="94">
        <f t="shared" si="15"/>
        <v>5250</v>
      </c>
      <c r="J678" s="94">
        <f t="shared" si="16"/>
        <v>30250</v>
      </c>
      <c r="K678" s="196"/>
      <c r="L678" s="195"/>
      <c r="M678" s="28">
        <f>H678</f>
        <v>25000</v>
      </c>
      <c r="N678" s="28"/>
      <c r="O678" s="28"/>
      <c r="P678" s="31"/>
      <c r="Q678" s="196"/>
      <c r="R678" s="276"/>
    </row>
    <row r="679" spans="1:18" s="51" customFormat="1" ht="15" customHeight="1" x14ac:dyDescent="0.2">
      <c r="A679" s="276"/>
      <c r="B679" s="197"/>
      <c r="C679" s="145">
        <f>SUM(C646:C678)</f>
        <v>0</v>
      </c>
      <c r="D679" s="144"/>
      <c r="E679" s="103"/>
      <c r="F679" s="481" t="s">
        <v>18</v>
      </c>
      <c r="G679" s="482"/>
      <c r="H679" s="337">
        <f>SUM(H649:H678)</f>
        <v>1306800</v>
      </c>
      <c r="I679" s="333">
        <f>SUM(I649:I678)</f>
        <v>274428</v>
      </c>
      <c r="J679" s="333">
        <f>SUM(J649:J678)</f>
        <v>1581228</v>
      </c>
      <c r="K679" s="289"/>
      <c r="L679" s="288"/>
      <c r="M679" s="334">
        <f>SUM(M646:M678)</f>
        <v>174800</v>
      </c>
      <c r="N679" s="335">
        <f>SUM(N646:N678)</f>
        <v>1117000</v>
      </c>
      <c r="O679" s="336">
        <f>SUM(O646:O678)</f>
        <v>15000</v>
      </c>
      <c r="P679" s="338">
        <f>SUM(M679:O679)</f>
        <v>1306800</v>
      </c>
      <c r="Q679" s="198"/>
      <c r="R679" s="280"/>
    </row>
    <row r="680" spans="1:18" s="49" customFormat="1" ht="30" customHeight="1" x14ac:dyDescent="0.2">
      <c r="A680" s="276"/>
      <c r="B680" s="189"/>
      <c r="C680" s="66"/>
      <c r="D680" s="6"/>
      <c r="E680" s="7"/>
      <c r="F680" s="8"/>
      <c r="G680" s="8"/>
      <c r="H680" s="9"/>
      <c r="I680" s="50"/>
      <c r="J680" s="50"/>
      <c r="K680" s="190"/>
      <c r="L680" s="189"/>
      <c r="M680" s="54"/>
      <c r="N680" s="54"/>
      <c r="O680" s="54"/>
      <c r="P680" s="55"/>
      <c r="Q680" s="190"/>
      <c r="R680" s="276"/>
    </row>
    <row r="681" spans="1:18" s="51" customFormat="1" ht="15" customHeight="1" x14ac:dyDescent="0.2">
      <c r="A681" s="276"/>
      <c r="B681" s="201"/>
      <c r="C681" s="301">
        <v>18</v>
      </c>
      <c r="D681" s="306" t="s">
        <v>46</v>
      </c>
      <c r="E681" s="328" t="s">
        <v>82</v>
      </c>
      <c r="F681" s="329" t="s">
        <v>41</v>
      </c>
      <c r="G681" s="330" t="s">
        <v>42</v>
      </c>
      <c r="H681" s="326" t="s">
        <v>58</v>
      </c>
      <c r="I681" s="331" t="s">
        <v>61</v>
      </c>
      <c r="J681" s="331" t="s">
        <v>139</v>
      </c>
      <c r="K681" s="202"/>
      <c r="L681" s="201"/>
      <c r="M681" s="332" t="s">
        <v>97</v>
      </c>
      <c r="N681" s="332" t="s">
        <v>26</v>
      </c>
      <c r="O681" s="332" t="s">
        <v>60</v>
      </c>
      <c r="P681" s="327" t="s">
        <v>58</v>
      </c>
      <c r="Q681" s="202"/>
      <c r="R681" s="280"/>
    </row>
    <row r="682" spans="1:18" ht="15" customHeight="1" x14ac:dyDescent="0.2">
      <c r="A682" s="276"/>
      <c r="B682" s="195"/>
      <c r="C682" s="13"/>
      <c r="D682" s="265" t="s">
        <v>110</v>
      </c>
      <c r="E682" s="91" t="s">
        <v>127</v>
      </c>
      <c r="F682" s="36">
        <v>50000</v>
      </c>
      <c r="G682" s="36">
        <v>1</v>
      </c>
      <c r="H682" s="35">
        <f>F682*G682</f>
        <v>50000</v>
      </c>
      <c r="I682" s="164">
        <f>H682*21%</f>
        <v>10500</v>
      </c>
      <c r="J682" s="164">
        <f>H682+I682</f>
        <v>60500</v>
      </c>
      <c r="K682" s="196"/>
      <c r="L682" s="195"/>
      <c r="M682" s="28">
        <f>H682*0.3</f>
        <v>15000</v>
      </c>
      <c r="N682" s="30">
        <f>H682*0.7</f>
        <v>35000</v>
      </c>
      <c r="O682" s="28"/>
      <c r="P682" s="31"/>
      <c r="Q682" s="196"/>
      <c r="R682" s="276"/>
    </row>
    <row r="683" spans="1:18" ht="15" customHeight="1" x14ac:dyDescent="0.2">
      <c r="A683" s="276"/>
      <c r="B683" s="195"/>
      <c r="C683" s="13"/>
      <c r="D683" s="265" t="s">
        <v>116</v>
      </c>
      <c r="E683" s="91" t="s">
        <v>127</v>
      </c>
      <c r="F683" s="36">
        <v>0</v>
      </c>
      <c r="G683" s="36">
        <v>1</v>
      </c>
      <c r="H683" s="35">
        <f>F683*G683</f>
        <v>0</v>
      </c>
      <c r="I683" s="164">
        <f>H683*21%</f>
        <v>0</v>
      </c>
      <c r="J683" s="164">
        <f>H683+I683</f>
        <v>0</v>
      </c>
      <c r="K683" s="196"/>
      <c r="L683" s="195"/>
      <c r="M683" s="28">
        <f>H683*0.3</f>
        <v>0</v>
      </c>
      <c r="N683" s="30">
        <f>H683*0.7</f>
        <v>0</v>
      </c>
      <c r="O683" s="28"/>
      <c r="P683" s="31"/>
      <c r="Q683" s="196"/>
      <c r="R683" s="276"/>
    </row>
    <row r="684" spans="1:18" s="51" customFormat="1" ht="15" customHeight="1" x14ac:dyDescent="0.2">
      <c r="A684" s="276"/>
      <c r="B684" s="197"/>
      <c r="C684" s="145">
        <f>SUM(C682:C683)</f>
        <v>0</v>
      </c>
      <c r="D684" s="144"/>
      <c r="E684" s="103"/>
      <c r="F684" s="481" t="s">
        <v>2</v>
      </c>
      <c r="G684" s="482"/>
      <c r="H684" s="337">
        <f>SUM(H682:H683)</f>
        <v>50000</v>
      </c>
      <c r="I684" s="333">
        <f>SUM(I682:I683)</f>
        <v>10500</v>
      </c>
      <c r="J684" s="333">
        <f>SUM(J682:J683)</f>
        <v>60500</v>
      </c>
      <c r="K684" s="289"/>
      <c r="L684" s="288"/>
      <c r="M684" s="334">
        <f>SUM(M682:M683)</f>
        <v>15000</v>
      </c>
      <c r="N684" s="335">
        <f>SUM(N682:N683)</f>
        <v>35000</v>
      </c>
      <c r="O684" s="336">
        <f>SUM(O682:O683)</f>
        <v>0</v>
      </c>
      <c r="P684" s="338">
        <f>SUM(M684:O684)</f>
        <v>50000</v>
      </c>
      <c r="Q684" s="198"/>
      <c r="R684" s="280"/>
    </row>
    <row r="685" spans="1:18" s="49" customFormat="1" ht="30" customHeight="1" x14ac:dyDescent="0.2">
      <c r="A685" s="276"/>
      <c r="B685" s="189"/>
      <c r="C685" s="66"/>
      <c r="D685" s="6"/>
      <c r="E685" s="7"/>
      <c r="F685" s="8"/>
      <c r="G685" s="8"/>
      <c r="H685" s="9"/>
      <c r="I685" s="50"/>
      <c r="J685" s="50"/>
      <c r="K685" s="190"/>
      <c r="L685" s="189"/>
      <c r="M685" s="54"/>
      <c r="N685" s="54"/>
      <c r="O685" s="54"/>
      <c r="P685" s="55"/>
      <c r="Q685" s="190"/>
      <c r="R685" s="276"/>
    </row>
    <row r="686" spans="1:18" s="51" customFormat="1" ht="15" customHeight="1" x14ac:dyDescent="0.2">
      <c r="A686" s="276"/>
      <c r="B686" s="201"/>
      <c r="C686" s="301">
        <v>19</v>
      </c>
      <c r="D686" s="306" t="s">
        <v>37</v>
      </c>
      <c r="E686" s="328" t="s">
        <v>82</v>
      </c>
      <c r="F686" s="329" t="s">
        <v>41</v>
      </c>
      <c r="G686" s="330" t="s">
        <v>42</v>
      </c>
      <c r="H686" s="326" t="s">
        <v>58</v>
      </c>
      <c r="I686" s="331" t="s">
        <v>61</v>
      </c>
      <c r="J686" s="331" t="s">
        <v>139</v>
      </c>
      <c r="K686" s="202"/>
      <c r="L686" s="201"/>
      <c r="M686" s="332" t="s">
        <v>97</v>
      </c>
      <c r="N686" s="332" t="s">
        <v>26</v>
      </c>
      <c r="O686" s="332" t="s">
        <v>60</v>
      </c>
      <c r="P686" s="327" t="s">
        <v>58</v>
      </c>
      <c r="Q686" s="202"/>
      <c r="R686" s="280"/>
    </row>
    <row r="687" spans="1:18" s="75" customFormat="1" ht="15" customHeight="1" x14ac:dyDescent="0.2">
      <c r="A687" s="283"/>
      <c r="B687" s="207"/>
      <c r="C687" s="73"/>
      <c r="D687" s="267" t="s">
        <v>270</v>
      </c>
      <c r="E687" s="154"/>
      <c r="F687" s="79"/>
      <c r="G687" s="157"/>
      <c r="H687" s="28"/>
      <c r="I687" s="171"/>
      <c r="J687" s="165"/>
      <c r="K687" s="196"/>
      <c r="L687" s="195"/>
      <c r="M687" s="176"/>
      <c r="N687" s="83"/>
      <c r="O687" s="157"/>
      <c r="P687" s="119"/>
      <c r="Q687" s="208"/>
      <c r="R687" s="283"/>
    </row>
    <row r="688" spans="1:18" s="90" customFormat="1" ht="15" customHeight="1" x14ac:dyDescent="0.2">
      <c r="A688" s="282"/>
      <c r="B688" s="203"/>
      <c r="C688" s="65"/>
      <c r="D688" s="76"/>
      <c r="E688" s="91" t="s">
        <v>208</v>
      </c>
      <c r="F688" s="123">
        <v>3000</v>
      </c>
      <c r="G688" s="84">
        <f>13*2</f>
        <v>26</v>
      </c>
      <c r="H688" s="84">
        <f>+F688*G688</f>
        <v>78000</v>
      </c>
      <c r="I688" s="84">
        <f>H688*21%</f>
        <v>16380</v>
      </c>
      <c r="J688" s="94">
        <f>H688+I688</f>
        <v>94380</v>
      </c>
      <c r="K688" s="204"/>
      <c r="L688" s="203"/>
      <c r="M688" s="84">
        <f>H688*30%</f>
        <v>23400</v>
      </c>
      <c r="N688" s="84">
        <f>H688*70%</f>
        <v>54600</v>
      </c>
      <c r="O688" s="84"/>
      <c r="P688" s="88"/>
      <c r="Q688" s="204"/>
      <c r="R688" s="282"/>
    </row>
    <row r="689" spans="1:18" s="75" customFormat="1" ht="15" customHeight="1" x14ac:dyDescent="0.2">
      <c r="A689" s="276"/>
      <c r="B689" s="207"/>
      <c r="C689" s="13">
        <v>2</v>
      </c>
      <c r="D689" s="267" t="s">
        <v>6</v>
      </c>
      <c r="E689" s="154"/>
      <c r="F689" s="79"/>
      <c r="G689" s="157"/>
      <c r="H689" s="28"/>
      <c r="I689" s="172"/>
      <c r="J689" s="173"/>
      <c r="K689" s="208"/>
      <c r="L689" s="207"/>
      <c r="M689" s="100"/>
      <c r="N689" s="101"/>
      <c r="O689" s="74"/>
      <c r="P689" s="102"/>
      <c r="Q689" s="208"/>
      <c r="R689" s="283"/>
    </row>
    <row r="690" spans="1:18" ht="15" customHeight="1" x14ac:dyDescent="0.2">
      <c r="A690" s="276"/>
      <c r="B690" s="195"/>
      <c r="C690" s="13"/>
      <c r="D690" s="76" t="s">
        <v>234</v>
      </c>
      <c r="E690" s="18" t="s">
        <v>43</v>
      </c>
      <c r="F690" s="39">
        <v>2000</v>
      </c>
      <c r="G690" s="35">
        <v>13</v>
      </c>
      <c r="H690" s="35">
        <f>+F690*G690</f>
        <v>26000</v>
      </c>
      <c r="I690" s="94"/>
      <c r="J690" s="94">
        <f>SUM(H690)</f>
        <v>26000</v>
      </c>
      <c r="K690" s="196"/>
      <c r="L690" s="195"/>
      <c r="M690" s="28">
        <v>0</v>
      </c>
      <c r="N690" s="28">
        <v>26000</v>
      </c>
      <c r="O690" s="28">
        <v>0</v>
      </c>
      <c r="P690" s="31"/>
      <c r="Q690" s="196"/>
      <c r="R690" s="276"/>
    </row>
    <row r="691" spans="1:18" ht="15" customHeight="1" x14ac:dyDescent="0.2">
      <c r="A691" s="276"/>
      <c r="B691" s="195"/>
      <c r="C691" s="13"/>
      <c r="D691" s="445" t="s">
        <v>290</v>
      </c>
      <c r="E691" s="78" t="s">
        <v>66</v>
      </c>
      <c r="F691" s="39">
        <v>10000</v>
      </c>
      <c r="G691" s="35">
        <v>4</v>
      </c>
      <c r="H691" s="35">
        <f>+F691*G691</f>
        <v>40000</v>
      </c>
      <c r="I691" s="94">
        <f>+H691*21%</f>
        <v>8400</v>
      </c>
      <c r="J691" s="94">
        <f>+H691+I691</f>
        <v>48400</v>
      </c>
      <c r="K691" s="196"/>
      <c r="L691" s="195"/>
      <c r="M691" s="28">
        <v>10000</v>
      </c>
      <c r="N691" s="28">
        <v>30000</v>
      </c>
      <c r="O691" s="28">
        <f>H691-M691-N691</f>
        <v>0</v>
      </c>
      <c r="P691" s="31"/>
      <c r="Q691" s="196"/>
      <c r="R691" s="276"/>
    </row>
    <row r="692" spans="1:18" ht="15" customHeight="1" x14ac:dyDescent="0.2">
      <c r="A692" s="276"/>
      <c r="B692" s="195"/>
      <c r="C692" s="13"/>
      <c r="D692" s="445" t="s">
        <v>235</v>
      </c>
      <c r="E692" s="78" t="s">
        <v>66</v>
      </c>
      <c r="F692" s="39">
        <v>30000</v>
      </c>
      <c r="G692" s="35">
        <v>4</v>
      </c>
      <c r="H692" s="35">
        <f>+G692*F692</f>
        <v>120000</v>
      </c>
      <c r="I692" s="94">
        <f>+H692*21%</f>
        <v>25200</v>
      </c>
      <c r="J692" s="94">
        <f>+I692+H692</f>
        <v>145200</v>
      </c>
      <c r="K692" s="196"/>
      <c r="L692" s="195"/>
      <c r="M692" s="28">
        <v>30000</v>
      </c>
      <c r="N692" s="28">
        <v>90000</v>
      </c>
      <c r="O692" s="28">
        <f>H692-M692-N692</f>
        <v>0</v>
      </c>
      <c r="P692" s="31"/>
      <c r="Q692" s="196"/>
      <c r="R692" s="276"/>
    </row>
    <row r="693" spans="1:18" ht="15" customHeight="1" x14ac:dyDescent="0.2">
      <c r="A693" s="276"/>
      <c r="B693" s="195"/>
      <c r="C693" s="13"/>
      <c r="D693" s="445" t="s">
        <v>291</v>
      </c>
      <c r="E693" s="78" t="s">
        <v>66</v>
      </c>
      <c r="F693" s="62">
        <v>96000</v>
      </c>
      <c r="G693" s="35">
        <v>3</v>
      </c>
      <c r="H693" s="35">
        <f>+G693*F693</f>
        <v>288000</v>
      </c>
      <c r="I693" s="94">
        <f>+H693*21%</f>
        <v>60480</v>
      </c>
      <c r="J693" s="94">
        <f>+I693+H693</f>
        <v>348480</v>
      </c>
      <c r="K693" s="196"/>
      <c r="L693" s="195"/>
      <c r="M693" s="28">
        <v>18000</v>
      </c>
      <c r="N693" s="28">
        <v>270000</v>
      </c>
      <c r="O693" s="28">
        <v>0</v>
      </c>
      <c r="P693" s="31"/>
      <c r="Q693" s="196"/>
      <c r="R693" s="276"/>
    </row>
    <row r="694" spans="1:18" ht="15" customHeight="1" x14ac:dyDescent="0.2">
      <c r="A694" s="276"/>
      <c r="B694" s="195"/>
      <c r="C694" s="13"/>
      <c r="D694" s="76" t="s">
        <v>142</v>
      </c>
      <c r="E694" s="18" t="s">
        <v>43</v>
      </c>
      <c r="F694" s="39">
        <v>0</v>
      </c>
      <c r="G694" s="35">
        <v>1</v>
      </c>
      <c r="H694" s="168">
        <f>+F694*G694</f>
        <v>0</v>
      </c>
      <c r="I694" s="94">
        <f>+H694*21%</f>
        <v>0</v>
      </c>
      <c r="J694" s="94">
        <f>SUM(H694)</f>
        <v>0</v>
      </c>
      <c r="K694" s="196"/>
      <c r="L694" s="195"/>
      <c r="M694" s="28">
        <f>F694*$F$3</f>
        <v>0</v>
      </c>
      <c r="N694" s="28"/>
      <c r="O694" s="28"/>
      <c r="P694" s="31"/>
      <c r="Q694" s="196"/>
      <c r="R694" s="276"/>
    </row>
    <row r="695" spans="1:18" ht="15" customHeight="1" x14ac:dyDescent="0.2">
      <c r="A695" s="276"/>
      <c r="B695" s="195"/>
      <c r="C695" s="13"/>
      <c r="D695" s="265" t="s">
        <v>117</v>
      </c>
      <c r="E695" s="78" t="s">
        <v>66</v>
      </c>
      <c r="F695" s="35">
        <v>20000</v>
      </c>
      <c r="G695" s="35">
        <v>4</v>
      </c>
      <c r="H695" s="35">
        <f>+F695*G695</f>
        <v>80000</v>
      </c>
      <c r="I695" s="94"/>
      <c r="J695" s="94">
        <f>SUM(H695)</f>
        <v>80000</v>
      </c>
      <c r="K695" s="196"/>
      <c r="L695" s="195"/>
      <c r="M695" s="28">
        <f>H695*30%</f>
        <v>24000</v>
      </c>
      <c r="N695" s="28">
        <f>H695*60%</f>
        <v>48000</v>
      </c>
      <c r="O695" s="28">
        <f>H695-M695-N695</f>
        <v>8000</v>
      </c>
      <c r="P695" s="31"/>
      <c r="Q695" s="196"/>
      <c r="R695" s="276"/>
    </row>
    <row r="696" spans="1:18" s="75" customFormat="1" ht="15" customHeight="1" x14ac:dyDescent="0.2">
      <c r="A696" s="276"/>
      <c r="B696" s="207"/>
      <c r="C696" s="13">
        <v>3</v>
      </c>
      <c r="D696" s="267" t="s">
        <v>3</v>
      </c>
      <c r="E696" s="154"/>
      <c r="F696" s="79"/>
      <c r="G696" s="157"/>
      <c r="H696" s="28"/>
      <c r="I696" s="167"/>
      <c r="J696" s="156"/>
      <c r="K696" s="208"/>
      <c r="L696" s="207"/>
      <c r="M696" s="107"/>
      <c r="N696" s="108"/>
      <c r="O696" s="159"/>
      <c r="P696" s="102"/>
      <c r="Q696" s="208"/>
      <c r="R696" s="283"/>
    </row>
    <row r="697" spans="1:18" ht="15" customHeight="1" x14ac:dyDescent="0.2">
      <c r="A697" s="276"/>
      <c r="B697" s="195"/>
      <c r="C697" s="13"/>
      <c r="D697" s="76" t="s">
        <v>163</v>
      </c>
      <c r="E697" s="18" t="s">
        <v>43</v>
      </c>
      <c r="F697" s="39">
        <v>12000</v>
      </c>
      <c r="G697" s="61">
        <v>13</v>
      </c>
      <c r="H697" s="35">
        <f>+F697*G697</f>
        <v>156000</v>
      </c>
      <c r="I697" s="169"/>
      <c r="J697" s="80"/>
      <c r="K697" s="196"/>
      <c r="L697" s="195"/>
      <c r="M697" s="109"/>
      <c r="N697" s="34"/>
      <c r="O697" s="106"/>
      <c r="P697" s="119"/>
      <c r="Q697" s="196"/>
      <c r="R697" s="276"/>
    </row>
    <row r="698" spans="1:18" ht="15" customHeight="1" x14ac:dyDescent="0.2">
      <c r="A698" s="276"/>
      <c r="B698" s="195"/>
      <c r="C698" s="13"/>
      <c r="D698" s="76" t="s">
        <v>292</v>
      </c>
      <c r="E698" s="18" t="s">
        <v>43</v>
      </c>
      <c r="F698" s="39">
        <v>14000</v>
      </c>
      <c r="G698" s="61">
        <v>13</v>
      </c>
      <c r="H698" s="35">
        <f>+G698*F698</f>
        <v>182000</v>
      </c>
      <c r="I698" s="169"/>
      <c r="J698" s="80"/>
      <c r="K698" s="196"/>
      <c r="L698" s="195"/>
      <c r="M698" s="109"/>
      <c r="N698" s="34"/>
      <c r="O698" s="106"/>
      <c r="P698" s="119"/>
      <c r="Q698" s="196"/>
      <c r="R698" s="276"/>
    </row>
    <row r="699" spans="1:18" ht="15" customHeight="1" x14ac:dyDescent="0.2">
      <c r="A699" s="276"/>
      <c r="B699" s="195"/>
      <c r="C699" s="13"/>
      <c r="D699" s="76" t="s">
        <v>143</v>
      </c>
      <c r="E699" s="18" t="s">
        <v>43</v>
      </c>
      <c r="F699" s="39">
        <v>13000</v>
      </c>
      <c r="G699" s="61">
        <v>13</v>
      </c>
      <c r="H699" s="35">
        <f>+G699*F699</f>
        <v>169000</v>
      </c>
      <c r="I699" s="169"/>
      <c r="J699" s="80"/>
      <c r="K699" s="196"/>
      <c r="L699" s="195"/>
      <c r="M699" s="109"/>
      <c r="N699" s="34"/>
      <c r="O699" s="106"/>
      <c r="P699" s="119"/>
      <c r="Q699" s="196"/>
      <c r="R699" s="276"/>
    </row>
    <row r="700" spans="1:18" s="49" customFormat="1" ht="15" customHeight="1" x14ac:dyDescent="0.2">
      <c r="A700" s="276"/>
      <c r="B700" s="195"/>
      <c r="C700" s="13"/>
      <c r="D700" s="14"/>
      <c r="E700" s="78" t="s">
        <v>81</v>
      </c>
      <c r="F700" s="39">
        <v>0</v>
      </c>
      <c r="G700" s="35">
        <v>0</v>
      </c>
      <c r="H700" s="35">
        <f>SUM(H697:H699)</f>
        <v>507000</v>
      </c>
      <c r="I700" s="94">
        <f>+H700*21%</f>
        <v>106470</v>
      </c>
      <c r="J700" s="94">
        <f>+H700+I700</f>
        <v>613470</v>
      </c>
      <c r="K700" s="196"/>
      <c r="L700" s="195"/>
      <c r="M700" s="28">
        <f>SUM(H697:H699)*10%</f>
        <v>50700</v>
      </c>
      <c r="N700" s="28">
        <f>SUM(H697:H699)-M700</f>
        <v>456300</v>
      </c>
      <c r="O700" s="28"/>
      <c r="P700" s="31"/>
      <c r="Q700" s="196"/>
      <c r="R700" s="276"/>
    </row>
    <row r="701" spans="1:18" s="75" customFormat="1" ht="15" customHeight="1" x14ac:dyDescent="0.2">
      <c r="A701" s="276"/>
      <c r="B701" s="207"/>
      <c r="C701" s="73"/>
      <c r="D701" s="267" t="s">
        <v>4</v>
      </c>
      <c r="E701" s="154"/>
      <c r="F701" s="79"/>
      <c r="G701" s="157"/>
      <c r="H701" s="28"/>
      <c r="I701" s="172"/>
      <c r="J701" s="173"/>
      <c r="K701" s="208"/>
      <c r="L701" s="207"/>
      <c r="M701" s="100"/>
      <c r="N701" s="101"/>
      <c r="O701" s="74"/>
      <c r="P701" s="102"/>
      <c r="Q701" s="208"/>
      <c r="R701" s="283"/>
    </row>
    <row r="702" spans="1:18" ht="15" customHeight="1" x14ac:dyDescent="0.2">
      <c r="A702" s="276"/>
      <c r="B702" s="195"/>
      <c r="C702" s="13"/>
      <c r="D702" s="14" t="s">
        <v>30</v>
      </c>
      <c r="E702" s="78" t="s">
        <v>31</v>
      </c>
      <c r="F702" s="39">
        <v>0</v>
      </c>
      <c r="G702" s="35">
        <v>0</v>
      </c>
      <c r="H702" s="35">
        <f>+G702*F702</f>
        <v>0</v>
      </c>
      <c r="I702" s="94"/>
      <c r="J702" s="94">
        <f>SUM(H701:H702)</f>
        <v>0</v>
      </c>
      <c r="K702" s="196"/>
      <c r="L702" s="195"/>
      <c r="M702" s="28"/>
      <c r="N702" s="28"/>
      <c r="O702" s="28"/>
      <c r="P702" s="31"/>
      <c r="Q702" s="196"/>
      <c r="R702" s="276"/>
    </row>
    <row r="703" spans="1:18" s="49" customFormat="1" ht="15" customHeight="1" x14ac:dyDescent="0.2">
      <c r="A703" s="276"/>
      <c r="B703" s="195"/>
      <c r="C703" s="13"/>
      <c r="D703" s="14" t="s">
        <v>32</v>
      </c>
      <c r="E703" s="78" t="s">
        <v>31</v>
      </c>
      <c r="F703" s="39">
        <v>0</v>
      </c>
      <c r="G703" s="35">
        <v>0</v>
      </c>
      <c r="H703" s="35">
        <f>+G703*F703</f>
        <v>0</v>
      </c>
      <c r="I703" s="94"/>
      <c r="J703" s="94">
        <f>SUM(H702:H703)</f>
        <v>0</v>
      </c>
      <c r="K703" s="196"/>
      <c r="L703" s="195"/>
      <c r="M703" s="28"/>
      <c r="N703" s="28"/>
      <c r="O703" s="28"/>
      <c r="P703" s="31"/>
      <c r="Q703" s="196"/>
      <c r="R703" s="276"/>
    </row>
    <row r="704" spans="1:18" s="75" customFormat="1" ht="15" customHeight="1" x14ac:dyDescent="0.2">
      <c r="A704" s="276"/>
      <c r="B704" s="207"/>
      <c r="C704" s="73"/>
      <c r="D704" s="267" t="s">
        <v>118</v>
      </c>
      <c r="E704" s="154"/>
      <c r="F704" s="79"/>
      <c r="G704" s="157"/>
      <c r="H704" s="28"/>
      <c r="I704" s="172"/>
      <c r="J704" s="173"/>
      <c r="K704" s="208"/>
      <c r="L704" s="207"/>
      <c r="M704" s="100"/>
      <c r="N704" s="101"/>
      <c r="O704" s="74"/>
      <c r="P704" s="102"/>
      <c r="Q704" s="208"/>
      <c r="R704" s="283"/>
    </row>
    <row r="705" spans="1:18" ht="15" customHeight="1" x14ac:dyDescent="0.2">
      <c r="A705" s="276"/>
      <c r="B705" s="195"/>
      <c r="C705" s="13"/>
      <c r="D705" s="14" t="s">
        <v>119</v>
      </c>
      <c r="E705" s="91" t="s">
        <v>127</v>
      </c>
      <c r="F705" s="39">
        <v>0</v>
      </c>
      <c r="G705" s="35">
        <v>0</v>
      </c>
      <c r="H705" s="35">
        <f>F705*G705</f>
        <v>0</v>
      </c>
      <c r="I705" s="94"/>
      <c r="J705" s="94">
        <f>SUM(H704:H705)</f>
        <v>0</v>
      </c>
      <c r="K705" s="196"/>
      <c r="L705" s="195"/>
      <c r="M705" s="28"/>
      <c r="N705" s="28"/>
      <c r="O705" s="28"/>
      <c r="P705" s="31"/>
      <c r="Q705" s="196"/>
      <c r="R705" s="276"/>
    </row>
    <row r="706" spans="1:18" ht="15" customHeight="1" x14ac:dyDescent="0.2">
      <c r="A706" s="276"/>
      <c r="B706" s="195"/>
      <c r="C706" s="13"/>
      <c r="D706" s="14" t="s">
        <v>70</v>
      </c>
      <c r="E706" s="78" t="s">
        <v>31</v>
      </c>
      <c r="F706" s="39">
        <v>0</v>
      </c>
      <c r="G706" s="35">
        <v>0</v>
      </c>
      <c r="H706" s="35">
        <f>F706*G706</f>
        <v>0</v>
      </c>
      <c r="I706" s="94"/>
      <c r="J706" s="94">
        <f>SUM(H705:H706)</f>
        <v>0</v>
      </c>
      <c r="K706" s="196"/>
      <c r="L706" s="195"/>
      <c r="M706" s="28"/>
      <c r="N706" s="28"/>
      <c r="O706" s="28"/>
      <c r="P706" s="31"/>
      <c r="Q706" s="196"/>
      <c r="R706" s="276"/>
    </row>
    <row r="707" spans="1:18" s="75" customFormat="1" ht="15" customHeight="1" x14ac:dyDescent="0.2">
      <c r="A707" s="276"/>
      <c r="B707" s="207"/>
      <c r="C707" s="73"/>
      <c r="D707" s="446" t="s">
        <v>57</v>
      </c>
      <c r="E707" s="154"/>
      <c r="F707" s="79"/>
      <c r="G707" s="157"/>
      <c r="H707" s="28"/>
      <c r="I707" s="172"/>
      <c r="J707" s="173"/>
      <c r="K707" s="208"/>
      <c r="L707" s="207"/>
      <c r="M707" s="100"/>
      <c r="N707" s="101"/>
      <c r="O707" s="74"/>
      <c r="P707" s="102"/>
      <c r="Q707" s="208"/>
      <c r="R707" s="283"/>
    </row>
    <row r="708" spans="1:18" ht="15" customHeight="1" x14ac:dyDescent="0.2">
      <c r="A708" s="276"/>
      <c r="B708" s="195"/>
      <c r="C708" s="13"/>
      <c r="D708" s="76" t="s">
        <v>144</v>
      </c>
      <c r="E708" s="91" t="s">
        <v>131</v>
      </c>
      <c r="F708" s="39">
        <v>350</v>
      </c>
      <c r="G708" s="35">
        <v>15</v>
      </c>
      <c r="H708" s="35">
        <f>+G708*F708</f>
        <v>5250</v>
      </c>
      <c r="I708" s="94">
        <f>H708*21%</f>
        <v>1102.5</v>
      </c>
      <c r="J708" s="94">
        <f>H708+I708</f>
        <v>6352.5</v>
      </c>
      <c r="K708" s="196"/>
      <c r="L708" s="195"/>
      <c r="M708" s="28">
        <f>H708*30%</f>
        <v>1575</v>
      </c>
      <c r="N708" s="28">
        <f>H708*60%</f>
        <v>3150</v>
      </c>
      <c r="O708" s="28">
        <v>525</v>
      </c>
      <c r="P708" s="31"/>
      <c r="Q708" s="196"/>
      <c r="R708" s="276"/>
    </row>
    <row r="709" spans="1:18" ht="15" customHeight="1" x14ac:dyDescent="0.2">
      <c r="A709" s="276"/>
      <c r="B709" s="195"/>
      <c r="C709" s="13"/>
      <c r="D709" s="76" t="s">
        <v>145</v>
      </c>
      <c r="E709" s="91" t="s">
        <v>131</v>
      </c>
      <c r="F709" s="39">
        <v>120</v>
      </c>
      <c r="G709" s="35">
        <v>15</v>
      </c>
      <c r="H709" s="35">
        <f>+G709*F709</f>
        <v>1800</v>
      </c>
      <c r="I709" s="94">
        <f>H709*21%</f>
        <v>378</v>
      </c>
      <c r="J709" s="94">
        <f>H709+I709</f>
        <v>2178</v>
      </c>
      <c r="K709" s="196"/>
      <c r="L709" s="195"/>
      <c r="M709" s="28">
        <f>H709*30%</f>
        <v>540</v>
      </c>
      <c r="N709" s="28">
        <f>H709*60%</f>
        <v>1080</v>
      </c>
      <c r="O709" s="28">
        <f>H709-M709-N709</f>
        <v>180</v>
      </c>
      <c r="P709" s="31"/>
      <c r="Q709" s="196"/>
      <c r="R709" s="276"/>
    </row>
    <row r="710" spans="1:18" s="75" customFormat="1" ht="15" customHeight="1" x14ac:dyDescent="0.2">
      <c r="A710" s="276"/>
      <c r="B710" s="207"/>
      <c r="C710" s="73"/>
      <c r="D710" s="267" t="s">
        <v>101</v>
      </c>
      <c r="E710" s="154"/>
      <c r="F710" s="79"/>
      <c r="G710" s="157"/>
      <c r="H710" s="28"/>
      <c r="I710" s="172"/>
      <c r="J710" s="173"/>
      <c r="K710" s="208"/>
      <c r="L710" s="207"/>
      <c r="M710" s="100"/>
      <c r="N710" s="101"/>
      <c r="O710" s="74"/>
      <c r="P710" s="102"/>
      <c r="Q710" s="208"/>
      <c r="R710" s="283"/>
    </row>
    <row r="711" spans="1:18" ht="15" customHeight="1" x14ac:dyDescent="0.2">
      <c r="A711" s="276"/>
      <c r="B711" s="195"/>
      <c r="C711" s="13"/>
      <c r="D711" s="14" t="s">
        <v>113</v>
      </c>
      <c r="E711" s="91" t="s">
        <v>127</v>
      </c>
      <c r="F711" s="39">
        <v>0</v>
      </c>
      <c r="G711" s="35">
        <v>0</v>
      </c>
      <c r="H711" s="35">
        <f>F711*G711</f>
        <v>0</v>
      </c>
      <c r="I711" s="94">
        <f>SUM(H710:H711)*21%</f>
        <v>0</v>
      </c>
      <c r="J711" s="94">
        <f>SUM(H710:H711)+I711</f>
        <v>0</v>
      </c>
      <c r="K711" s="196"/>
      <c r="L711" s="195"/>
      <c r="M711" s="28"/>
      <c r="N711" s="28"/>
      <c r="O711" s="28"/>
      <c r="P711" s="31"/>
      <c r="Q711" s="196"/>
      <c r="R711" s="276"/>
    </row>
    <row r="712" spans="1:18" ht="15" customHeight="1" x14ac:dyDescent="0.2">
      <c r="A712" s="276"/>
      <c r="B712" s="195"/>
      <c r="C712" s="13"/>
      <c r="D712" s="40" t="s">
        <v>120</v>
      </c>
      <c r="E712" s="91" t="s">
        <v>127</v>
      </c>
      <c r="F712" s="39">
        <v>0</v>
      </c>
      <c r="G712" s="35">
        <v>0</v>
      </c>
      <c r="H712" s="168">
        <f>+G712*F712</f>
        <v>0</v>
      </c>
      <c r="I712" s="94">
        <f>SUM(H711:H712)*21%</f>
        <v>0</v>
      </c>
      <c r="J712" s="94">
        <f>SUM(H711:H712)+I712</f>
        <v>0</v>
      </c>
      <c r="K712" s="196"/>
      <c r="L712" s="195"/>
      <c r="M712" s="28"/>
      <c r="N712" s="28">
        <f>SUM(H711:H712)</f>
        <v>0</v>
      </c>
      <c r="O712" s="28"/>
      <c r="P712" s="31"/>
      <c r="Q712" s="196"/>
      <c r="R712" s="276"/>
    </row>
    <row r="713" spans="1:18" s="51" customFormat="1" ht="15" customHeight="1" x14ac:dyDescent="0.2">
      <c r="A713" s="276"/>
      <c r="B713" s="197"/>
      <c r="C713" s="145">
        <f>SUM(C689:C712)</f>
        <v>5</v>
      </c>
      <c r="D713" s="144"/>
      <c r="E713" s="103"/>
      <c r="F713" s="481" t="s">
        <v>338</v>
      </c>
      <c r="G713" s="482"/>
      <c r="H713" s="337">
        <f>SUM(H712+H711+H709+H708+H706+H705+H703+H702+H700+H695+H694+H693+H692+H691+H690+H688)</f>
        <v>1146050</v>
      </c>
      <c r="I713" s="333">
        <f>SUM(I712+I711+I709+I708+I706+I705+I703+I702+I700+I695+I694+I693+I692+I691+I688)</f>
        <v>218410.5</v>
      </c>
      <c r="J713" s="333">
        <f>SUM(J712+J711+J709+J708+J706+J705+J703+J702+J700+J695+J694+J693+J692+J691+J690+J688)</f>
        <v>1364460.5</v>
      </c>
      <c r="K713" s="289"/>
      <c r="L713" s="288"/>
      <c r="M713" s="334">
        <f>SUM(M688:M712)</f>
        <v>158215</v>
      </c>
      <c r="N713" s="335">
        <f>SUM(N688:N712)</f>
        <v>979130</v>
      </c>
      <c r="O713" s="336">
        <f>SUM(O687:O712)</f>
        <v>8705</v>
      </c>
      <c r="P713" s="338">
        <f>SUM(M713:O713)</f>
        <v>1146050</v>
      </c>
      <c r="Q713" s="198"/>
      <c r="R713" s="280"/>
    </row>
    <row r="714" spans="1:18" s="49" customFormat="1" ht="30" customHeight="1" x14ac:dyDescent="0.2">
      <c r="A714" s="276"/>
      <c r="B714" s="189"/>
      <c r="C714" s="66"/>
      <c r="D714" s="6"/>
      <c r="E714" s="7"/>
      <c r="F714" s="8"/>
      <c r="G714" s="8"/>
      <c r="H714" s="9"/>
      <c r="I714" s="50"/>
      <c r="J714" s="50"/>
      <c r="K714" s="190"/>
      <c r="L714" s="189"/>
      <c r="M714" s="54"/>
      <c r="N714" s="54"/>
      <c r="O714" s="54"/>
      <c r="P714" s="55"/>
      <c r="Q714" s="190"/>
      <c r="R714" s="276"/>
    </row>
    <row r="715" spans="1:18" s="51" customFormat="1" ht="15" customHeight="1" x14ac:dyDescent="0.2">
      <c r="A715" s="276"/>
      <c r="B715" s="201"/>
      <c r="C715" s="301">
        <v>20</v>
      </c>
      <c r="D715" s="306" t="s">
        <v>36</v>
      </c>
      <c r="E715" s="328" t="s">
        <v>82</v>
      </c>
      <c r="F715" s="329" t="s">
        <v>41</v>
      </c>
      <c r="G715" s="330" t="s">
        <v>42</v>
      </c>
      <c r="H715" s="326" t="s">
        <v>58</v>
      </c>
      <c r="I715" s="331" t="s">
        <v>61</v>
      </c>
      <c r="J715" s="331" t="s">
        <v>139</v>
      </c>
      <c r="K715" s="202"/>
      <c r="L715" s="201"/>
      <c r="M715" s="332" t="s">
        <v>97</v>
      </c>
      <c r="N715" s="332" t="s">
        <v>26</v>
      </c>
      <c r="O715" s="332" t="s">
        <v>60</v>
      </c>
      <c r="P715" s="327" t="s">
        <v>58</v>
      </c>
      <c r="Q715" s="202"/>
      <c r="R715" s="280"/>
    </row>
    <row r="716" spans="1:18" ht="15" customHeight="1" x14ac:dyDescent="0.2">
      <c r="A716" s="276"/>
      <c r="B716" s="195"/>
      <c r="C716" s="64"/>
      <c r="D716" s="265" t="s">
        <v>165</v>
      </c>
      <c r="E716" s="227"/>
      <c r="F716" s="227"/>
      <c r="G716" s="157"/>
      <c r="H716" s="77"/>
      <c r="I716" s="169"/>
      <c r="J716" s="80"/>
      <c r="K716" s="196"/>
      <c r="L716" s="195"/>
      <c r="M716" s="262"/>
      <c r="N716" s="83"/>
      <c r="O716" s="157"/>
      <c r="P716" s="31"/>
      <c r="Q716" s="196"/>
      <c r="R716" s="276"/>
    </row>
    <row r="717" spans="1:18" ht="15" customHeight="1" x14ac:dyDescent="0.2">
      <c r="A717" s="276"/>
      <c r="B717" s="195"/>
      <c r="C717" s="64"/>
      <c r="D717" s="76" t="s">
        <v>164</v>
      </c>
      <c r="E717" s="227"/>
      <c r="F717" s="227"/>
      <c r="G717" s="106"/>
      <c r="H717" s="32"/>
      <c r="I717" s="169"/>
      <c r="J717" s="80"/>
      <c r="K717" s="196"/>
      <c r="L717" s="195"/>
      <c r="M717" s="110"/>
      <c r="N717" s="111"/>
      <c r="O717" s="29"/>
      <c r="P717" s="31"/>
      <c r="Q717" s="196"/>
      <c r="R717" s="276"/>
    </row>
    <row r="718" spans="1:18" ht="15" customHeight="1" x14ac:dyDescent="0.2">
      <c r="A718" s="276"/>
      <c r="B718" s="195"/>
      <c r="C718" s="64"/>
      <c r="D718" s="97"/>
      <c r="E718" s="78" t="s">
        <v>286</v>
      </c>
      <c r="F718" s="84">
        <v>6500</v>
      </c>
      <c r="G718" s="28">
        <v>13</v>
      </c>
      <c r="H718" s="28">
        <f>F718*G718</f>
        <v>84500</v>
      </c>
      <c r="I718" s="94">
        <f>H718*21%</f>
        <v>17745</v>
      </c>
      <c r="J718" s="94">
        <f>H718+I718</f>
        <v>102245</v>
      </c>
      <c r="K718" s="196"/>
      <c r="L718" s="195"/>
      <c r="M718" s="28">
        <f>H718/6</f>
        <v>14083.333333333334</v>
      </c>
      <c r="N718" s="28">
        <f>H718-M718</f>
        <v>70416.666666666672</v>
      </c>
      <c r="O718" s="28"/>
      <c r="P718" s="31"/>
      <c r="Q718" s="196"/>
      <c r="R718" s="276"/>
    </row>
    <row r="719" spans="1:18" s="177" customFormat="1" ht="15" customHeight="1" x14ac:dyDescent="0.2">
      <c r="A719" s="276"/>
      <c r="B719" s="205"/>
      <c r="C719" s="64"/>
      <c r="D719" s="265" t="s">
        <v>76</v>
      </c>
      <c r="E719" s="78" t="s">
        <v>225</v>
      </c>
      <c r="F719" s="84">
        <v>3500</v>
      </c>
      <c r="G719" s="84">
        <v>13</v>
      </c>
      <c r="H719" s="84">
        <f>+F719*G719</f>
        <v>45500</v>
      </c>
      <c r="I719" s="94">
        <f>H719*21%</f>
        <v>9555</v>
      </c>
      <c r="J719" s="94">
        <f>H719+I719</f>
        <v>55055</v>
      </c>
      <c r="K719" s="206"/>
      <c r="L719" s="205"/>
      <c r="M719" s="84"/>
      <c r="N719" s="84">
        <f>H719</f>
        <v>45500</v>
      </c>
      <c r="O719" s="84"/>
      <c r="P719" s="31"/>
      <c r="Q719" s="206"/>
      <c r="R719" s="282"/>
    </row>
    <row r="720" spans="1:18" ht="15" customHeight="1" x14ac:dyDescent="0.2">
      <c r="A720" s="276"/>
      <c r="B720" s="195"/>
      <c r="C720" s="64"/>
      <c r="D720" s="448" t="s">
        <v>20</v>
      </c>
      <c r="E720" s="154" t="s">
        <v>38</v>
      </c>
      <c r="F720" s="79"/>
      <c r="G720" s="157"/>
      <c r="H720" s="28"/>
      <c r="I720" s="174"/>
      <c r="J720" s="93"/>
      <c r="K720" s="196"/>
      <c r="L720" s="195"/>
      <c r="M720" s="28"/>
      <c r="N720" s="28">
        <f>H720</f>
        <v>0</v>
      </c>
      <c r="O720" s="28"/>
      <c r="P720" s="31"/>
      <c r="Q720" s="196"/>
      <c r="R720" s="276"/>
    </row>
    <row r="721" spans="1:18" ht="15" customHeight="1" x14ac:dyDescent="0.2">
      <c r="A721" s="276"/>
      <c r="B721" s="195"/>
      <c r="C721" s="64"/>
      <c r="D721" s="56" t="s">
        <v>95</v>
      </c>
      <c r="E721" s="91" t="s">
        <v>225</v>
      </c>
      <c r="F721" s="28">
        <v>3500</v>
      </c>
      <c r="G721" s="28">
        <v>13</v>
      </c>
      <c r="H721" s="28">
        <f>+F721*G721</f>
        <v>45500</v>
      </c>
      <c r="I721" s="94">
        <f>H721*21%</f>
        <v>9555</v>
      </c>
      <c r="J721" s="94">
        <f>H721+I721</f>
        <v>55055</v>
      </c>
      <c r="K721" s="196"/>
      <c r="L721" s="195"/>
      <c r="M721" s="28">
        <f>H721*30%</f>
        <v>13650</v>
      </c>
      <c r="N721" s="28">
        <f>H721*60%</f>
        <v>27300</v>
      </c>
      <c r="O721" s="28">
        <f>H721-M721-N721</f>
        <v>4550</v>
      </c>
      <c r="P721" s="31"/>
      <c r="Q721" s="196"/>
      <c r="R721" s="276"/>
    </row>
    <row r="722" spans="1:18" s="51" customFormat="1" ht="15" customHeight="1" x14ac:dyDescent="0.2">
      <c r="A722" s="276"/>
      <c r="B722" s="197"/>
      <c r="C722" s="145">
        <f>SUM(C716:C721)</f>
        <v>0</v>
      </c>
      <c r="D722" s="144"/>
      <c r="E722" s="103"/>
      <c r="F722" s="481" t="s">
        <v>1</v>
      </c>
      <c r="G722" s="482"/>
      <c r="H722" s="337">
        <f>SUM(H721+H719+H718)</f>
        <v>175500</v>
      </c>
      <c r="I722" s="333">
        <f>SUM(I721+I719+I718)</f>
        <v>36855</v>
      </c>
      <c r="J722" s="333">
        <f>SUM(J721+J719+J718)</f>
        <v>212355</v>
      </c>
      <c r="K722" s="289"/>
      <c r="L722" s="288"/>
      <c r="M722" s="334">
        <f>SUM(M716:M721)</f>
        <v>27733.333333333336</v>
      </c>
      <c r="N722" s="335">
        <f>SUM(N716:N721)</f>
        <v>143216.66666666669</v>
      </c>
      <c r="O722" s="336">
        <f>SUM(O716:O721)</f>
        <v>4550</v>
      </c>
      <c r="P722" s="338">
        <f>SUM(M722:O722)</f>
        <v>175500.00000000003</v>
      </c>
      <c r="Q722" s="198"/>
      <c r="R722" s="280"/>
    </row>
    <row r="723" spans="1:18" s="49" customFormat="1" ht="30" customHeight="1" x14ac:dyDescent="0.2">
      <c r="A723" s="276"/>
      <c r="B723" s="189"/>
      <c r="C723" s="66"/>
      <c r="D723" s="6"/>
      <c r="E723" s="7"/>
      <c r="F723" s="8"/>
      <c r="G723" s="8"/>
      <c r="H723" s="9"/>
      <c r="I723" s="50"/>
      <c r="J723" s="50"/>
      <c r="K723" s="190"/>
      <c r="L723" s="189"/>
      <c r="M723" s="54"/>
      <c r="N723" s="54"/>
      <c r="O723" s="54"/>
      <c r="P723" s="55"/>
      <c r="Q723" s="190"/>
      <c r="R723" s="276"/>
    </row>
    <row r="724" spans="1:18" s="51" customFormat="1" ht="15" customHeight="1" x14ac:dyDescent="0.2">
      <c r="A724" s="276"/>
      <c r="B724" s="201"/>
      <c r="C724" s="301">
        <v>21</v>
      </c>
      <c r="D724" s="306" t="s">
        <v>342</v>
      </c>
      <c r="E724" s="328" t="s">
        <v>82</v>
      </c>
      <c r="F724" s="329" t="s">
        <v>41</v>
      </c>
      <c r="G724" s="330" t="s">
        <v>42</v>
      </c>
      <c r="H724" s="326" t="s">
        <v>58</v>
      </c>
      <c r="I724" s="331" t="s">
        <v>61</v>
      </c>
      <c r="J724" s="331" t="s">
        <v>139</v>
      </c>
      <c r="K724" s="202"/>
      <c r="L724" s="201"/>
      <c r="M724" s="332" t="s">
        <v>97</v>
      </c>
      <c r="N724" s="332" t="s">
        <v>26</v>
      </c>
      <c r="O724" s="332" t="s">
        <v>60</v>
      </c>
      <c r="P724" s="327" t="s">
        <v>58</v>
      </c>
      <c r="Q724" s="202"/>
      <c r="R724" s="280"/>
    </row>
    <row r="725" spans="1:18" s="52" customFormat="1" ht="15" customHeight="1" x14ac:dyDescent="0.2">
      <c r="A725" s="276"/>
      <c r="B725" s="195"/>
      <c r="C725" s="64"/>
      <c r="D725" s="267" t="s">
        <v>154</v>
      </c>
      <c r="E725" s="297" t="s">
        <v>108</v>
      </c>
      <c r="F725" s="298"/>
      <c r="G725" s="299" t="s">
        <v>136</v>
      </c>
      <c r="H725" s="175"/>
      <c r="I725" s="171"/>
      <c r="J725" s="165"/>
      <c r="K725" s="196"/>
      <c r="L725" s="195"/>
      <c r="M725" s="107"/>
      <c r="N725" s="108"/>
      <c r="O725" s="159"/>
      <c r="P725" s="118"/>
      <c r="Q725" s="196"/>
      <c r="R725" s="276"/>
    </row>
    <row r="726" spans="1:18" ht="15" customHeight="1" x14ac:dyDescent="0.2">
      <c r="A726" s="276"/>
      <c r="B726" s="195"/>
      <c r="C726" s="64"/>
      <c r="D726" s="95" t="s">
        <v>135</v>
      </c>
      <c r="E726" s="104">
        <v>40</v>
      </c>
      <c r="F726" s="29">
        <v>250</v>
      </c>
      <c r="G726" s="104">
        <v>65</v>
      </c>
      <c r="H726" s="28">
        <f>+E726*F726*G726</f>
        <v>650000</v>
      </c>
      <c r="I726" s="170"/>
      <c r="J726" s="81"/>
      <c r="K726" s="196"/>
      <c r="L726" s="195"/>
      <c r="M726" s="110"/>
      <c r="N726" s="111"/>
      <c r="O726" s="29"/>
      <c r="P726" s="119"/>
      <c r="Q726" s="196"/>
      <c r="R726" s="276"/>
    </row>
    <row r="727" spans="1:18" ht="15" customHeight="1" x14ac:dyDescent="0.2">
      <c r="A727" s="276"/>
      <c r="B727" s="195"/>
      <c r="C727" s="64"/>
      <c r="D727" s="117"/>
      <c r="E727" s="116"/>
      <c r="F727" s="28"/>
      <c r="G727" s="300"/>
      <c r="H727" s="28"/>
      <c r="I727" s="94">
        <f>+H726*21%</f>
        <v>136500</v>
      </c>
      <c r="J727" s="94">
        <f>+I727+H726</f>
        <v>786500</v>
      </c>
      <c r="K727" s="196"/>
      <c r="L727" s="195"/>
      <c r="M727" s="28">
        <f>SUM(H726:H727)*20%</f>
        <v>130000</v>
      </c>
      <c r="N727" s="28">
        <f>SUM(H726:H727)*80%</f>
        <v>520000</v>
      </c>
      <c r="O727" s="28"/>
      <c r="P727" s="31"/>
      <c r="Q727" s="196"/>
      <c r="R727" s="276"/>
    </row>
    <row r="728" spans="1:18" s="75" customFormat="1" ht="15" customHeight="1" x14ac:dyDescent="0.2">
      <c r="A728" s="276"/>
      <c r="B728" s="207"/>
      <c r="C728" s="73"/>
      <c r="D728" s="446" t="s">
        <v>101</v>
      </c>
      <c r="E728" s="154"/>
      <c r="F728" s="79"/>
      <c r="G728" s="157"/>
      <c r="H728" s="28"/>
      <c r="I728" s="172"/>
      <c r="J728" s="173"/>
      <c r="K728" s="208"/>
      <c r="L728" s="207"/>
      <c r="M728" s="154"/>
      <c r="N728" s="79"/>
      <c r="O728" s="157"/>
      <c r="P728" s="102"/>
      <c r="Q728" s="208"/>
      <c r="R728" s="283"/>
    </row>
    <row r="729" spans="1:18" ht="15" customHeight="1" x14ac:dyDescent="0.2">
      <c r="A729" s="276"/>
      <c r="B729" s="195"/>
      <c r="C729" s="64"/>
      <c r="D729" s="76" t="s">
        <v>293</v>
      </c>
      <c r="E729" s="91" t="s">
        <v>127</v>
      </c>
      <c r="F729" s="28">
        <f>120*3</f>
        <v>360</v>
      </c>
      <c r="G729" s="28">
        <v>26</v>
      </c>
      <c r="H729" s="28">
        <f>F729*G729</f>
        <v>9360</v>
      </c>
      <c r="I729" s="94">
        <v>0</v>
      </c>
      <c r="J729" s="94">
        <f>SUM(H729)+I729</f>
        <v>9360</v>
      </c>
      <c r="K729" s="196"/>
      <c r="L729" s="195"/>
      <c r="M729" s="122">
        <f>H729</f>
        <v>9360</v>
      </c>
      <c r="N729" s="121"/>
      <c r="O729" s="121"/>
      <c r="P729" s="31"/>
      <c r="Q729" s="196"/>
      <c r="R729" s="276"/>
    </row>
    <row r="730" spans="1:18" ht="15" customHeight="1" x14ac:dyDescent="0.2">
      <c r="A730" s="276"/>
      <c r="B730" s="195"/>
      <c r="C730" s="64"/>
      <c r="D730" s="15"/>
      <c r="E730" s="91"/>
      <c r="F730" s="28"/>
      <c r="G730" s="28"/>
      <c r="H730" s="28"/>
      <c r="I730" s="94"/>
      <c r="J730" s="94"/>
      <c r="K730" s="196"/>
      <c r="L730" s="195"/>
      <c r="M730" s="28"/>
      <c r="N730" s="28">
        <f>H730</f>
        <v>0</v>
      </c>
      <c r="O730" s="28"/>
      <c r="P730" s="31"/>
      <c r="Q730" s="196"/>
      <c r="R730" s="276"/>
    </row>
    <row r="731" spans="1:18" s="51" customFormat="1" ht="15" customHeight="1" x14ac:dyDescent="0.2">
      <c r="A731" s="276"/>
      <c r="B731" s="197"/>
      <c r="C731" s="145">
        <f>SUM(C725:C730)</f>
        <v>0</v>
      </c>
      <c r="D731" s="144"/>
      <c r="E731" s="103"/>
      <c r="F731" s="481" t="s">
        <v>0</v>
      </c>
      <c r="G731" s="482"/>
      <c r="H731" s="337">
        <f>SUM(H726:H730)</f>
        <v>659360</v>
      </c>
      <c r="I731" s="333">
        <f>SUM(I727:I730)</f>
        <v>136500</v>
      </c>
      <c r="J731" s="333">
        <f>SUM(J727:K730)</f>
        <v>795860</v>
      </c>
      <c r="K731" s="289"/>
      <c r="L731" s="288"/>
      <c r="M731" s="334">
        <f>SUM(M725:M730)</f>
        <v>139360</v>
      </c>
      <c r="N731" s="335">
        <f>SUM(N725:N730)</f>
        <v>520000</v>
      </c>
      <c r="O731" s="336">
        <f>SUM(O725:O730)</f>
        <v>0</v>
      </c>
      <c r="P731" s="338">
        <f>SUM(M731:O731)</f>
        <v>659360</v>
      </c>
      <c r="Q731" s="198"/>
      <c r="R731" s="280"/>
    </row>
    <row r="732" spans="1:18" s="49" customFormat="1" ht="30" customHeight="1" x14ac:dyDescent="0.2">
      <c r="A732" s="276"/>
      <c r="B732" s="189"/>
      <c r="C732" s="66"/>
      <c r="D732" s="6"/>
      <c r="E732" s="7"/>
      <c r="F732" s="8"/>
      <c r="G732" s="8"/>
      <c r="H732" s="9"/>
      <c r="I732" s="50"/>
      <c r="J732" s="50"/>
      <c r="K732" s="190"/>
      <c r="L732" s="189"/>
      <c r="M732" s="54"/>
      <c r="N732" s="54"/>
      <c r="O732" s="54"/>
      <c r="P732" s="55"/>
      <c r="Q732" s="190"/>
      <c r="R732" s="276"/>
    </row>
    <row r="733" spans="1:18" s="51" customFormat="1" ht="15" customHeight="1" x14ac:dyDescent="0.2">
      <c r="A733" s="276"/>
      <c r="B733" s="201"/>
      <c r="C733" s="301">
        <v>22</v>
      </c>
      <c r="D733" s="306" t="s">
        <v>94</v>
      </c>
      <c r="E733" s="328" t="s">
        <v>82</v>
      </c>
      <c r="F733" s="329" t="s">
        <v>41</v>
      </c>
      <c r="G733" s="330" t="s">
        <v>42</v>
      </c>
      <c r="H733" s="326" t="s">
        <v>58</v>
      </c>
      <c r="I733" s="331" t="s">
        <v>61</v>
      </c>
      <c r="J733" s="331" t="s">
        <v>139</v>
      </c>
      <c r="K733" s="202"/>
      <c r="L733" s="201"/>
      <c r="M733" s="332" t="s">
        <v>97</v>
      </c>
      <c r="N733" s="332" t="s">
        <v>26</v>
      </c>
      <c r="O733" s="332" t="s">
        <v>60</v>
      </c>
      <c r="P733" s="327" t="s">
        <v>58</v>
      </c>
      <c r="Q733" s="202"/>
      <c r="R733" s="280"/>
    </row>
    <row r="734" spans="1:18" ht="15" customHeight="1" x14ac:dyDescent="0.2">
      <c r="A734" s="276"/>
      <c r="B734" s="195"/>
      <c r="C734" s="64"/>
      <c r="D734" s="264" t="s">
        <v>74</v>
      </c>
      <c r="E734" s="19" t="s">
        <v>66</v>
      </c>
      <c r="F734" s="28">
        <v>12000</v>
      </c>
      <c r="G734" s="28">
        <v>5</v>
      </c>
      <c r="H734" s="28">
        <f t="shared" ref="H734:H746" si="17">F734*G734</f>
        <v>60000</v>
      </c>
      <c r="I734" s="94">
        <f>H734*21%</f>
        <v>12600</v>
      </c>
      <c r="J734" s="94">
        <f>H734+I734</f>
        <v>72600</v>
      </c>
      <c r="K734" s="196"/>
      <c r="L734" s="195"/>
      <c r="M734" s="28">
        <f t="shared" ref="M734:M746" si="18">H734*33%</f>
        <v>19800</v>
      </c>
      <c r="N734" s="28">
        <f t="shared" ref="N734:N746" si="19">H734*34%</f>
        <v>20400</v>
      </c>
      <c r="O734" s="28">
        <f t="shared" ref="O734:O746" si="20">H734-M734-N734</f>
        <v>19800</v>
      </c>
      <c r="P734" s="31"/>
      <c r="Q734" s="196"/>
      <c r="R734" s="276"/>
    </row>
    <row r="735" spans="1:18" ht="15" customHeight="1" x14ac:dyDescent="0.2">
      <c r="A735" s="276"/>
      <c r="B735" s="195"/>
      <c r="C735" s="13">
        <v>1</v>
      </c>
      <c r="D735" s="263" t="s">
        <v>155</v>
      </c>
      <c r="E735" s="20" t="s">
        <v>114</v>
      </c>
      <c r="F735" s="35">
        <v>0</v>
      </c>
      <c r="G735" s="35">
        <v>0</v>
      </c>
      <c r="H735" s="35">
        <f t="shared" si="17"/>
        <v>0</v>
      </c>
      <c r="I735" s="94">
        <v>0</v>
      </c>
      <c r="J735" s="94">
        <f t="shared" ref="J735:J746" si="21">H735+I735</f>
        <v>0</v>
      </c>
      <c r="K735" s="196"/>
      <c r="L735" s="195"/>
      <c r="M735" s="28">
        <f t="shared" si="18"/>
        <v>0</v>
      </c>
      <c r="N735" s="28">
        <f t="shared" si="19"/>
        <v>0</v>
      </c>
      <c r="O735" s="28">
        <f t="shared" si="20"/>
        <v>0</v>
      </c>
      <c r="P735" s="31"/>
      <c r="Q735" s="196"/>
      <c r="R735" s="276"/>
    </row>
    <row r="736" spans="1:18" ht="15" customHeight="1" x14ac:dyDescent="0.2">
      <c r="A736" s="276"/>
      <c r="B736" s="195"/>
      <c r="C736" s="64"/>
      <c r="D736" s="264" t="s">
        <v>29</v>
      </c>
      <c r="E736" s="19" t="s">
        <v>66</v>
      </c>
      <c r="F736" s="28">
        <v>4000</v>
      </c>
      <c r="G736" s="28">
        <v>5</v>
      </c>
      <c r="H736" s="28">
        <f t="shared" si="17"/>
        <v>20000</v>
      </c>
      <c r="I736" s="94">
        <v>0</v>
      </c>
      <c r="J736" s="94">
        <f t="shared" si="21"/>
        <v>20000</v>
      </c>
      <c r="K736" s="196"/>
      <c r="L736" s="195"/>
      <c r="M736" s="28">
        <f t="shared" si="18"/>
        <v>6600</v>
      </c>
      <c r="N736" s="28">
        <f t="shared" si="19"/>
        <v>6800.0000000000009</v>
      </c>
      <c r="O736" s="28">
        <f t="shared" si="20"/>
        <v>6599.9999999999991</v>
      </c>
      <c r="P736" s="31"/>
      <c r="Q736" s="196"/>
      <c r="R736" s="276"/>
    </row>
    <row r="737" spans="1:18" ht="15" customHeight="1" x14ac:dyDescent="0.2">
      <c r="A737" s="276"/>
      <c r="B737" s="195"/>
      <c r="C737" s="64"/>
      <c r="D737" s="264" t="s">
        <v>250</v>
      </c>
      <c r="E737" s="19" t="s">
        <v>66</v>
      </c>
      <c r="F737" s="28">
        <v>3500</v>
      </c>
      <c r="G737" s="28">
        <v>5</v>
      </c>
      <c r="H737" s="28">
        <f t="shared" si="17"/>
        <v>17500</v>
      </c>
      <c r="I737" s="94">
        <f>H737*21%</f>
        <v>3675</v>
      </c>
      <c r="J737" s="94">
        <f t="shared" si="21"/>
        <v>21175</v>
      </c>
      <c r="K737" s="196"/>
      <c r="L737" s="195"/>
      <c r="M737" s="28">
        <f t="shared" si="18"/>
        <v>5775</v>
      </c>
      <c r="N737" s="28">
        <f t="shared" si="19"/>
        <v>5950</v>
      </c>
      <c r="O737" s="28">
        <f t="shared" si="20"/>
        <v>5775</v>
      </c>
      <c r="P737" s="31"/>
      <c r="Q737" s="196"/>
      <c r="R737" s="276"/>
    </row>
    <row r="738" spans="1:18" ht="15" customHeight="1" x14ac:dyDescent="0.2">
      <c r="A738" s="276"/>
      <c r="B738" s="345"/>
      <c r="C738" s="64"/>
      <c r="D738" s="264" t="s">
        <v>251</v>
      </c>
      <c r="E738" s="105" t="s">
        <v>221</v>
      </c>
      <c r="F738" s="28">
        <v>4000</v>
      </c>
      <c r="G738" s="28">
        <v>1</v>
      </c>
      <c r="H738" s="28">
        <f t="shared" si="17"/>
        <v>4000</v>
      </c>
      <c r="I738" s="94">
        <f>H738*21%</f>
        <v>840</v>
      </c>
      <c r="J738" s="94">
        <f>+H738+I738</f>
        <v>4840</v>
      </c>
      <c r="K738" s="346"/>
      <c r="L738" s="345"/>
      <c r="M738" s="28">
        <f t="shared" si="18"/>
        <v>1320</v>
      </c>
      <c r="N738" s="28">
        <f t="shared" si="19"/>
        <v>1360</v>
      </c>
      <c r="O738" s="28">
        <f t="shared" si="20"/>
        <v>1320</v>
      </c>
      <c r="P738" s="31"/>
      <c r="Q738" s="346"/>
      <c r="R738" s="276"/>
    </row>
    <row r="739" spans="1:18" ht="15" customHeight="1" x14ac:dyDescent="0.2">
      <c r="A739" s="276"/>
      <c r="B739" s="195"/>
      <c r="C739" s="64"/>
      <c r="D739" s="264" t="s">
        <v>249</v>
      </c>
      <c r="E739" s="19" t="s">
        <v>66</v>
      </c>
      <c r="F739" s="28">
        <v>900</v>
      </c>
      <c r="G739" s="28">
        <v>5</v>
      </c>
      <c r="H739" s="28">
        <f t="shared" si="17"/>
        <v>4500</v>
      </c>
      <c r="I739" s="94">
        <f>H739*21%</f>
        <v>945</v>
      </c>
      <c r="J739" s="94">
        <f t="shared" si="21"/>
        <v>5445</v>
      </c>
      <c r="K739" s="196"/>
      <c r="L739" s="195"/>
      <c r="M739" s="28">
        <f t="shared" si="18"/>
        <v>1485</v>
      </c>
      <c r="N739" s="28">
        <f t="shared" si="19"/>
        <v>1530</v>
      </c>
      <c r="O739" s="28">
        <f t="shared" si="20"/>
        <v>1485</v>
      </c>
      <c r="P739" s="31"/>
      <c r="Q739" s="196"/>
      <c r="R739" s="276"/>
    </row>
    <row r="740" spans="1:18" ht="15" customHeight="1" x14ac:dyDescent="0.2">
      <c r="A740" s="276"/>
      <c r="B740" s="195"/>
      <c r="C740" s="64"/>
      <c r="D740" s="447" t="s">
        <v>77</v>
      </c>
      <c r="E740" s="105" t="s">
        <v>221</v>
      </c>
      <c r="F740" s="28">
        <v>10000</v>
      </c>
      <c r="G740" s="28">
        <v>5</v>
      </c>
      <c r="H740" s="28">
        <f t="shared" si="17"/>
        <v>50000</v>
      </c>
      <c r="I740" s="94">
        <f>H740*21%</f>
        <v>10500</v>
      </c>
      <c r="J740" s="94">
        <f t="shared" si="21"/>
        <v>60500</v>
      </c>
      <c r="K740" s="196"/>
      <c r="L740" s="195"/>
      <c r="M740" s="28">
        <f t="shared" si="18"/>
        <v>16500</v>
      </c>
      <c r="N740" s="28">
        <f t="shared" si="19"/>
        <v>17000</v>
      </c>
      <c r="O740" s="28">
        <f t="shared" si="20"/>
        <v>16500</v>
      </c>
      <c r="P740" s="31"/>
      <c r="Q740" s="196"/>
      <c r="R740" s="276"/>
    </row>
    <row r="741" spans="1:18" ht="15" customHeight="1" x14ac:dyDescent="0.2">
      <c r="A741" s="276"/>
      <c r="B741" s="195"/>
      <c r="C741" s="64"/>
      <c r="D741" s="264" t="s">
        <v>78</v>
      </c>
      <c r="E741" s="91" t="s">
        <v>127</v>
      </c>
      <c r="F741" s="28">
        <v>20000</v>
      </c>
      <c r="G741" s="28">
        <v>1</v>
      </c>
      <c r="H741" s="28">
        <f t="shared" si="17"/>
        <v>20000</v>
      </c>
      <c r="I741" s="94">
        <v>0</v>
      </c>
      <c r="J741" s="94">
        <f t="shared" si="21"/>
        <v>20000</v>
      </c>
      <c r="K741" s="196"/>
      <c r="L741" s="195"/>
      <c r="M741" s="28">
        <f t="shared" si="18"/>
        <v>6600</v>
      </c>
      <c r="N741" s="28">
        <f t="shared" si="19"/>
        <v>6800.0000000000009</v>
      </c>
      <c r="O741" s="28">
        <f t="shared" si="20"/>
        <v>6599.9999999999991</v>
      </c>
      <c r="P741" s="31"/>
      <c r="Q741" s="196"/>
      <c r="R741" s="276"/>
    </row>
    <row r="742" spans="1:18" ht="15" customHeight="1" x14ac:dyDescent="0.2">
      <c r="A742" s="276"/>
      <c r="B742" s="195"/>
      <c r="C742" s="64"/>
      <c r="D742" s="264" t="s">
        <v>79</v>
      </c>
      <c r="E742" s="19" t="s">
        <v>66</v>
      </c>
      <c r="F742" s="28">
        <v>15000</v>
      </c>
      <c r="G742" s="28">
        <v>5</v>
      </c>
      <c r="H742" s="28">
        <f t="shared" si="17"/>
        <v>75000</v>
      </c>
      <c r="I742" s="94">
        <v>0</v>
      </c>
      <c r="J742" s="94">
        <f t="shared" si="21"/>
        <v>75000</v>
      </c>
      <c r="K742" s="196"/>
      <c r="L742" s="195"/>
      <c r="M742" s="28">
        <f t="shared" si="18"/>
        <v>24750</v>
      </c>
      <c r="N742" s="28">
        <f t="shared" si="19"/>
        <v>25500.000000000004</v>
      </c>
      <c r="O742" s="28">
        <f t="shared" si="20"/>
        <v>24749.999999999996</v>
      </c>
      <c r="P742" s="31"/>
      <c r="Q742" s="196"/>
      <c r="R742" s="276"/>
    </row>
    <row r="743" spans="1:18" ht="15" customHeight="1" x14ac:dyDescent="0.2">
      <c r="A743" s="276"/>
      <c r="B743" s="345"/>
      <c r="C743" s="64"/>
      <c r="D743" s="264" t="s">
        <v>252</v>
      </c>
      <c r="E743" s="105" t="s">
        <v>66</v>
      </c>
      <c r="F743" s="28">
        <v>30000</v>
      </c>
      <c r="G743" s="28">
        <v>5</v>
      </c>
      <c r="H743" s="28">
        <f t="shared" si="17"/>
        <v>150000</v>
      </c>
      <c r="I743" s="94">
        <f>+H743*21%</f>
        <v>31500</v>
      </c>
      <c r="J743" s="94">
        <f>+H743+I743</f>
        <v>181500</v>
      </c>
      <c r="K743" s="346"/>
      <c r="L743" s="345"/>
      <c r="M743" s="28">
        <f t="shared" si="18"/>
        <v>49500</v>
      </c>
      <c r="N743" s="28">
        <f t="shared" si="19"/>
        <v>51000.000000000007</v>
      </c>
      <c r="O743" s="28">
        <f t="shared" si="20"/>
        <v>49499.999999999993</v>
      </c>
      <c r="P743" s="31"/>
      <c r="Q743" s="346"/>
      <c r="R743" s="276"/>
    </row>
    <row r="744" spans="1:18" ht="15" customHeight="1" x14ac:dyDescent="0.2">
      <c r="A744" s="276"/>
      <c r="B744" s="345"/>
      <c r="C744" s="64"/>
      <c r="D744" s="264" t="s">
        <v>254</v>
      </c>
      <c r="E744" s="105" t="s">
        <v>221</v>
      </c>
      <c r="F744" s="28">
        <v>15000</v>
      </c>
      <c r="G744" s="28">
        <v>1</v>
      </c>
      <c r="H744" s="28">
        <f t="shared" si="17"/>
        <v>15000</v>
      </c>
      <c r="I744" s="94">
        <f>+H744*21%</f>
        <v>3150</v>
      </c>
      <c r="J744" s="94">
        <f>+H744+I744</f>
        <v>18150</v>
      </c>
      <c r="K744" s="346"/>
      <c r="L744" s="345"/>
      <c r="M744" s="28">
        <f t="shared" si="18"/>
        <v>4950</v>
      </c>
      <c r="N744" s="28">
        <f t="shared" si="19"/>
        <v>5100</v>
      </c>
      <c r="O744" s="28">
        <f t="shared" si="20"/>
        <v>4950</v>
      </c>
      <c r="P744" s="31"/>
      <c r="Q744" s="346"/>
      <c r="R744" s="276"/>
    </row>
    <row r="745" spans="1:18" ht="15" customHeight="1" x14ac:dyDescent="0.2">
      <c r="A745" s="276"/>
      <c r="B745" s="345"/>
      <c r="C745" s="64"/>
      <c r="D745" s="264" t="s">
        <v>253</v>
      </c>
      <c r="E745" s="105" t="s">
        <v>66</v>
      </c>
      <c r="F745" s="28">
        <v>2000</v>
      </c>
      <c r="G745" s="28">
        <v>5</v>
      </c>
      <c r="H745" s="28">
        <f t="shared" si="17"/>
        <v>10000</v>
      </c>
      <c r="I745" s="94">
        <f>+H745*21%</f>
        <v>2100</v>
      </c>
      <c r="J745" s="94">
        <f>+H745+I745</f>
        <v>12100</v>
      </c>
      <c r="K745" s="346"/>
      <c r="L745" s="345"/>
      <c r="M745" s="28">
        <f t="shared" si="18"/>
        <v>3300</v>
      </c>
      <c r="N745" s="28">
        <f t="shared" si="19"/>
        <v>3400.0000000000005</v>
      </c>
      <c r="O745" s="28">
        <f t="shared" si="20"/>
        <v>3299.9999999999995</v>
      </c>
      <c r="P745" s="31"/>
      <c r="Q745" s="346"/>
      <c r="R745" s="276"/>
    </row>
    <row r="746" spans="1:18" ht="15" customHeight="1" x14ac:dyDescent="0.2">
      <c r="A746" s="276"/>
      <c r="B746" s="195"/>
      <c r="C746" s="13"/>
      <c r="D746" s="265" t="s">
        <v>256</v>
      </c>
      <c r="E746" s="91" t="s">
        <v>127</v>
      </c>
      <c r="F746" s="35">
        <v>0</v>
      </c>
      <c r="G746" s="35">
        <v>1</v>
      </c>
      <c r="H746" s="28">
        <f t="shared" si="17"/>
        <v>0</v>
      </c>
      <c r="I746" s="94">
        <v>0</v>
      </c>
      <c r="J746" s="94">
        <f t="shared" si="21"/>
        <v>0</v>
      </c>
      <c r="K746" s="196"/>
      <c r="L746" s="195"/>
      <c r="M746" s="28">
        <f t="shared" si="18"/>
        <v>0</v>
      </c>
      <c r="N746" s="28">
        <f t="shared" si="19"/>
        <v>0</v>
      </c>
      <c r="O746" s="28">
        <f t="shared" si="20"/>
        <v>0</v>
      </c>
      <c r="P746" s="31"/>
      <c r="Q746" s="196"/>
      <c r="R746" s="276"/>
    </row>
    <row r="747" spans="1:18" s="51" customFormat="1" ht="15" customHeight="1" x14ac:dyDescent="0.2">
      <c r="A747" s="276"/>
      <c r="B747" s="197"/>
      <c r="C747" s="145">
        <f>SUM(C734:C746)</f>
        <v>1</v>
      </c>
      <c r="D747" s="144"/>
      <c r="E747" s="103"/>
      <c r="F747" s="481" t="s">
        <v>71</v>
      </c>
      <c r="G747" s="482"/>
      <c r="H747" s="337">
        <f>SUM(H734:H746)</f>
        <v>426000</v>
      </c>
      <c r="I747" s="333">
        <f>SUM(I734:I746)</f>
        <v>65310</v>
      </c>
      <c r="J747" s="333">
        <f>SUM(J734:J746)</f>
        <v>491310</v>
      </c>
      <c r="K747" s="289"/>
      <c r="L747" s="288"/>
      <c r="M747" s="334">
        <f>SUM(M734:M746)</f>
        <v>140580</v>
      </c>
      <c r="N747" s="335">
        <f>SUM(N734:N746)</f>
        <v>144840</v>
      </c>
      <c r="O747" s="336">
        <f>SUM(O734:O746)</f>
        <v>140580</v>
      </c>
      <c r="P747" s="338">
        <f>SUM(M747:O747)</f>
        <v>426000</v>
      </c>
      <c r="Q747" s="198"/>
      <c r="R747" s="280"/>
    </row>
    <row r="748" spans="1:18" s="49" customFormat="1" ht="30" customHeight="1" x14ac:dyDescent="0.2">
      <c r="A748" s="276"/>
      <c r="B748" s="189"/>
      <c r="C748" s="66"/>
      <c r="D748" s="6"/>
      <c r="E748" s="7"/>
      <c r="F748" s="8"/>
      <c r="G748" s="8"/>
      <c r="H748" s="9"/>
      <c r="I748" s="50"/>
      <c r="J748" s="50"/>
      <c r="K748" s="190"/>
      <c r="L748" s="189"/>
      <c r="M748" s="54"/>
      <c r="N748" s="54"/>
      <c r="O748" s="54"/>
      <c r="P748" s="55"/>
      <c r="Q748" s="190"/>
      <c r="R748" s="276"/>
    </row>
    <row r="749" spans="1:18" s="51" customFormat="1" ht="15" customHeight="1" x14ac:dyDescent="0.2">
      <c r="A749" s="276"/>
      <c r="B749" s="201"/>
      <c r="C749" s="301">
        <v>23</v>
      </c>
      <c r="D749" s="306" t="s">
        <v>73</v>
      </c>
      <c r="E749" s="328" t="s">
        <v>82</v>
      </c>
      <c r="F749" s="329" t="s">
        <v>41</v>
      </c>
      <c r="G749" s="330" t="s">
        <v>42</v>
      </c>
      <c r="H749" s="326" t="s">
        <v>58</v>
      </c>
      <c r="I749" s="331" t="s">
        <v>61</v>
      </c>
      <c r="J749" s="331" t="s">
        <v>139</v>
      </c>
      <c r="K749" s="202"/>
      <c r="L749" s="201"/>
      <c r="M749" s="332" t="s">
        <v>97</v>
      </c>
      <c r="N749" s="332" t="s">
        <v>26</v>
      </c>
      <c r="O749" s="332" t="s">
        <v>60</v>
      </c>
      <c r="P749" s="327" t="s">
        <v>58</v>
      </c>
      <c r="Q749" s="202"/>
      <c r="R749" s="280"/>
    </row>
    <row r="750" spans="1:18" s="75" customFormat="1" ht="15" customHeight="1" x14ac:dyDescent="0.2">
      <c r="A750" s="276"/>
      <c r="B750" s="207"/>
      <c r="C750" s="13"/>
      <c r="D750" s="446" t="s">
        <v>339</v>
      </c>
      <c r="E750" s="155"/>
      <c r="F750" s="98"/>
      <c r="G750" s="158"/>
      <c r="H750" s="99"/>
      <c r="I750" s="167"/>
      <c r="J750" s="156"/>
      <c r="K750" s="208"/>
      <c r="L750" s="207"/>
      <c r="M750" s="107"/>
      <c r="N750" s="108"/>
      <c r="O750" s="159"/>
      <c r="P750" s="102"/>
      <c r="Q750" s="208"/>
      <c r="R750" s="283"/>
    </row>
    <row r="751" spans="1:18" ht="15" customHeight="1" x14ac:dyDescent="0.2">
      <c r="A751" s="276"/>
      <c r="B751" s="195"/>
      <c r="C751" s="64"/>
      <c r="D751" s="479" t="s">
        <v>340</v>
      </c>
      <c r="E751" s="91" t="s">
        <v>221</v>
      </c>
      <c r="F751" s="60">
        <v>90000</v>
      </c>
      <c r="G751" s="28">
        <v>1</v>
      </c>
      <c r="H751" s="28">
        <f>F751*G751:G751</f>
        <v>90000</v>
      </c>
      <c r="I751" s="94">
        <f>H751*21%</f>
        <v>18900</v>
      </c>
      <c r="J751" s="94">
        <f>H751+I751</f>
        <v>108900</v>
      </c>
      <c r="K751" s="196"/>
      <c r="L751" s="195"/>
      <c r="M751" s="28">
        <f>H751*0.5</f>
        <v>45000</v>
      </c>
      <c r="N751" s="28">
        <f>H751*0.5</f>
        <v>45000</v>
      </c>
      <c r="O751" s="28"/>
      <c r="P751" s="31"/>
      <c r="Q751" s="196"/>
      <c r="R751" s="276"/>
    </row>
    <row r="752" spans="1:18" s="52" customFormat="1" ht="15" customHeight="1" x14ac:dyDescent="0.2">
      <c r="A752" s="276"/>
      <c r="B752" s="195"/>
      <c r="C752" s="64"/>
      <c r="D752" s="480" t="s">
        <v>258</v>
      </c>
      <c r="E752" s="91" t="s">
        <v>66</v>
      </c>
      <c r="F752" s="28">
        <v>4000</v>
      </c>
      <c r="G752" s="28">
        <v>5</v>
      </c>
      <c r="H752" s="28">
        <f>F752*G752</f>
        <v>20000</v>
      </c>
      <c r="I752" s="94">
        <f>H752*21%</f>
        <v>4200</v>
      </c>
      <c r="J752" s="94">
        <f>H752+I752</f>
        <v>24200</v>
      </c>
      <c r="K752" s="196"/>
      <c r="L752" s="195"/>
      <c r="M752" s="28">
        <f>H752*10%</f>
        <v>2000</v>
      </c>
      <c r="N752" s="28">
        <f>H752*90%</f>
        <v>18000</v>
      </c>
      <c r="O752" s="28"/>
      <c r="P752" s="31"/>
      <c r="Q752" s="196"/>
      <c r="R752" s="276"/>
    </row>
    <row r="753" spans="1:18" s="52" customFormat="1" ht="15" customHeight="1" x14ac:dyDescent="0.2">
      <c r="A753" s="276"/>
      <c r="B753" s="345"/>
      <c r="C753" s="64"/>
      <c r="D753" s="480" t="s">
        <v>257</v>
      </c>
      <c r="E753" s="91" t="s">
        <v>221</v>
      </c>
      <c r="F753" s="28">
        <v>50000</v>
      </c>
      <c r="G753" s="28">
        <v>1</v>
      </c>
      <c r="H753" s="28">
        <f>F753*G753</f>
        <v>50000</v>
      </c>
      <c r="I753" s="94">
        <f>H753*21%</f>
        <v>10500</v>
      </c>
      <c r="J753" s="94">
        <f>H753+I753</f>
        <v>60500</v>
      </c>
      <c r="K753" s="346"/>
      <c r="L753" s="345"/>
      <c r="M753" s="361"/>
      <c r="N753" s="28">
        <v>50000</v>
      </c>
      <c r="O753" s="37"/>
      <c r="P753" s="31"/>
      <c r="Q753" s="346"/>
      <c r="R753" s="276"/>
    </row>
    <row r="754" spans="1:18" s="51" customFormat="1" ht="15" customHeight="1" x14ac:dyDescent="0.2">
      <c r="A754" s="276"/>
      <c r="B754" s="197"/>
      <c r="C754" s="181">
        <f>SUM(C750:C752)</f>
        <v>0</v>
      </c>
      <c r="D754" s="144"/>
      <c r="E754" s="103"/>
      <c r="F754" s="507" t="s">
        <v>80</v>
      </c>
      <c r="G754" s="482"/>
      <c r="H754" s="337">
        <f>SUM(H751:H753)</f>
        <v>160000</v>
      </c>
      <c r="I754" s="333">
        <f>SUM(I751:I753)</f>
        <v>33600</v>
      </c>
      <c r="J754" s="333">
        <f>SUM(J751:J753)</f>
        <v>193600</v>
      </c>
      <c r="K754" s="289"/>
      <c r="L754" s="288"/>
      <c r="M754" s="334">
        <f>SUM(M750:M752)</f>
        <v>47000</v>
      </c>
      <c r="N754" s="335">
        <f>SUM(N751:N753)</f>
        <v>113000</v>
      </c>
      <c r="O754" s="336">
        <f>SUM(O750:O752)</f>
        <v>0</v>
      </c>
      <c r="P754" s="338">
        <f>SUM(M754:O754)</f>
        <v>160000</v>
      </c>
      <c r="Q754" s="198"/>
      <c r="R754" s="280"/>
    </row>
    <row r="755" spans="1:18" s="51" customFormat="1" ht="36" customHeight="1" x14ac:dyDescent="0.2">
      <c r="A755" s="276"/>
      <c r="B755" s="405"/>
      <c r="C755" s="418"/>
      <c r="D755" s="144"/>
      <c r="E755" s="103"/>
      <c r="F755" s="432"/>
      <c r="G755" s="432"/>
      <c r="H755" s="407"/>
      <c r="I755" s="407"/>
      <c r="J755" s="407"/>
      <c r="K755" s="406"/>
      <c r="L755" s="405"/>
      <c r="M755" s="334"/>
      <c r="N755" s="335"/>
      <c r="O755" s="336"/>
      <c r="P755" s="338"/>
      <c r="Q755" s="406"/>
      <c r="R755" s="280"/>
    </row>
    <row r="756" spans="1:18" s="51" customFormat="1" ht="15" customHeight="1" x14ac:dyDescent="0.2">
      <c r="A756" s="276"/>
      <c r="B756" s="201"/>
      <c r="C756" s="301">
        <v>24</v>
      </c>
      <c r="D756" s="306" t="s">
        <v>287</v>
      </c>
      <c r="E756" s="328" t="s">
        <v>82</v>
      </c>
      <c r="F756" s="433" t="s">
        <v>41</v>
      </c>
      <c r="G756" s="402" t="s">
        <v>42</v>
      </c>
      <c r="H756" s="326" t="s">
        <v>58</v>
      </c>
      <c r="I756" s="331" t="s">
        <v>61</v>
      </c>
      <c r="J756" s="331" t="s">
        <v>139</v>
      </c>
      <c r="K756" s="202"/>
      <c r="L756" s="201"/>
      <c r="M756" s="332" t="s">
        <v>97</v>
      </c>
      <c r="N756" s="332" t="s">
        <v>26</v>
      </c>
      <c r="O756" s="332" t="s">
        <v>60</v>
      </c>
      <c r="P756" s="327" t="s">
        <v>58</v>
      </c>
      <c r="Q756" s="202"/>
      <c r="R756" s="280"/>
    </row>
    <row r="757" spans="1:18" ht="15" customHeight="1" x14ac:dyDescent="0.2">
      <c r="A757" s="276"/>
      <c r="B757" s="345"/>
      <c r="C757" s="13">
        <v>1</v>
      </c>
      <c r="D757" s="419" t="s">
        <v>288</v>
      </c>
      <c r="E757" s="91" t="s">
        <v>221</v>
      </c>
      <c r="F757" s="28">
        <v>25000</v>
      </c>
      <c r="G757" s="28">
        <v>1</v>
      </c>
      <c r="H757" s="28">
        <f>G757*F757</f>
        <v>25000</v>
      </c>
      <c r="I757" s="94">
        <f>+H757*21%</f>
        <v>5250</v>
      </c>
      <c r="J757" s="94">
        <f>SUM(H757:I757)</f>
        <v>30250</v>
      </c>
      <c r="K757" s="346"/>
      <c r="L757" s="345"/>
      <c r="M757" s="28"/>
      <c r="N757" s="28">
        <f>H757</f>
        <v>25000</v>
      </c>
      <c r="O757" s="28"/>
      <c r="P757" s="31"/>
      <c r="Q757" s="346"/>
      <c r="R757" s="276"/>
    </row>
    <row r="758" spans="1:18" s="51" customFormat="1" ht="15" customHeight="1" x14ac:dyDescent="0.2">
      <c r="A758" s="276"/>
      <c r="B758" s="352"/>
      <c r="C758" s="145">
        <f>SUM(C757:C757)</f>
        <v>1</v>
      </c>
      <c r="D758" s="144"/>
      <c r="E758" s="103"/>
      <c r="F758" s="481" t="s">
        <v>48</v>
      </c>
      <c r="G758" s="482"/>
      <c r="H758" s="381">
        <f>SUM(H757:H757)</f>
        <v>25000</v>
      </c>
      <c r="I758" s="382">
        <f>SUM(I757:I757)</f>
        <v>5250</v>
      </c>
      <c r="J758" s="382">
        <f>SUM(J757:J757)</f>
        <v>30250</v>
      </c>
      <c r="K758" s="354"/>
      <c r="L758" s="352"/>
      <c r="M758" s="334">
        <f>SUM(M757:M757)</f>
        <v>0</v>
      </c>
      <c r="N758" s="335">
        <f>SUM(N757:N757)</f>
        <v>25000</v>
      </c>
      <c r="O758" s="336">
        <f>SUM(O757:O757)</f>
        <v>0</v>
      </c>
      <c r="P758" s="338">
        <f>SUM(M758:O758)</f>
        <v>25000</v>
      </c>
      <c r="Q758" s="354"/>
      <c r="R758" s="280"/>
    </row>
    <row r="759" spans="1:18" s="49" customFormat="1" ht="30" customHeight="1" x14ac:dyDescent="0.2">
      <c r="A759" s="276"/>
      <c r="B759" s="189"/>
      <c r="C759" s="66"/>
      <c r="D759" s="6"/>
      <c r="E759" s="7"/>
      <c r="F759" s="8"/>
      <c r="G759" s="8"/>
      <c r="H759" s="9"/>
      <c r="I759" s="50"/>
      <c r="J759" s="50"/>
      <c r="K759" s="190"/>
      <c r="L759" s="189"/>
      <c r="M759" s="54"/>
      <c r="N759" s="54"/>
      <c r="O759" s="54"/>
      <c r="P759" s="55"/>
      <c r="Q759" s="190"/>
      <c r="R759" s="276"/>
    </row>
    <row r="760" spans="1:18" s="51" customFormat="1" ht="15" customHeight="1" x14ac:dyDescent="0.2">
      <c r="A760" s="276"/>
      <c r="B760" s="201"/>
      <c r="C760" s="301">
        <v>25</v>
      </c>
      <c r="D760" s="306" t="s">
        <v>27</v>
      </c>
      <c r="E760" s="328" t="s">
        <v>82</v>
      </c>
      <c r="F760" s="329" t="s">
        <v>41</v>
      </c>
      <c r="G760" s="330" t="s">
        <v>42</v>
      </c>
      <c r="H760" s="326" t="s">
        <v>58</v>
      </c>
      <c r="I760" s="331" t="s">
        <v>61</v>
      </c>
      <c r="J760" s="331" t="s">
        <v>139</v>
      </c>
      <c r="K760" s="202"/>
      <c r="L760" s="201"/>
      <c r="M760" s="332" t="s">
        <v>97</v>
      </c>
      <c r="N760" s="332" t="s">
        <v>26</v>
      </c>
      <c r="O760" s="332" t="s">
        <v>60</v>
      </c>
      <c r="P760" s="327" t="s">
        <v>58</v>
      </c>
      <c r="Q760" s="202"/>
      <c r="R760" s="280"/>
    </row>
    <row r="761" spans="1:18" ht="15" customHeight="1" x14ac:dyDescent="0.2">
      <c r="A761" s="276"/>
      <c r="B761" s="195"/>
      <c r="C761" s="13">
        <v>1</v>
      </c>
      <c r="D761" s="264" t="s">
        <v>239</v>
      </c>
      <c r="E761" s="91" t="s">
        <v>208</v>
      </c>
      <c r="F761" s="28">
        <v>700</v>
      </c>
      <c r="G761" s="28">
        <v>65</v>
      </c>
      <c r="H761" s="28">
        <f>G761*F761</f>
        <v>45500</v>
      </c>
      <c r="I761" s="94">
        <v>0</v>
      </c>
      <c r="J761" s="94">
        <f>H761</f>
        <v>45500</v>
      </c>
      <c r="K761" s="196"/>
      <c r="L761" s="195"/>
      <c r="M761" s="28"/>
      <c r="N761" s="28">
        <f>H761</f>
        <v>45500</v>
      </c>
      <c r="O761" s="28"/>
      <c r="P761" s="31"/>
      <c r="Q761" s="196"/>
      <c r="R761" s="276"/>
    </row>
    <row r="762" spans="1:18" s="51" customFormat="1" ht="15" customHeight="1" x14ac:dyDescent="0.2">
      <c r="A762" s="276"/>
      <c r="B762" s="352"/>
      <c r="C762" s="389">
        <f>SUM(C761:C761)</f>
        <v>1</v>
      </c>
      <c r="D762" s="144"/>
      <c r="E762" s="103"/>
      <c r="F762" s="481" t="s">
        <v>49</v>
      </c>
      <c r="G762" s="482"/>
      <c r="H762" s="381">
        <f>SUM(H761:H761)</f>
        <v>45500</v>
      </c>
      <c r="I762" s="382">
        <f>SUM(I761:I761)</f>
        <v>0</v>
      </c>
      <c r="J762" s="382">
        <f>SUM(J761:J761)</f>
        <v>45500</v>
      </c>
      <c r="K762" s="354"/>
      <c r="L762" s="352"/>
      <c r="M762" s="334">
        <f>SUM(M761:M761)</f>
        <v>0</v>
      </c>
      <c r="N762" s="335">
        <f>SUM(N761:N761)</f>
        <v>45500</v>
      </c>
      <c r="O762" s="336">
        <f>SUM(O761:O761)</f>
        <v>0</v>
      </c>
      <c r="P762" s="338">
        <f>SUM(M762:O762)</f>
        <v>45500</v>
      </c>
      <c r="Q762" s="354"/>
      <c r="R762" s="280"/>
    </row>
    <row r="763" spans="1:18" s="390" customFormat="1" ht="15" customHeight="1" x14ac:dyDescent="0.2">
      <c r="A763" s="395"/>
      <c r="B763" s="391"/>
      <c r="C763" s="392"/>
      <c r="D763" s="384"/>
      <c r="E763" s="385"/>
      <c r="F763" s="383"/>
      <c r="G763" s="383"/>
      <c r="H763" s="386"/>
      <c r="I763" s="386"/>
      <c r="J763" s="386"/>
      <c r="K763" s="387"/>
      <c r="L763" s="391"/>
      <c r="M763" s="388"/>
      <c r="N763" s="388"/>
      <c r="O763" s="388"/>
      <c r="P763" s="388"/>
      <c r="Q763" s="391"/>
    </row>
    <row r="764" spans="1:18" s="51" customFormat="1" ht="15" customHeight="1" x14ac:dyDescent="0.2">
      <c r="A764" s="276"/>
      <c r="B764" s="201"/>
      <c r="C764" s="301">
        <v>26</v>
      </c>
      <c r="D764" s="306" t="s">
        <v>259</v>
      </c>
      <c r="E764" s="328" t="s">
        <v>82</v>
      </c>
      <c r="F764" s="329" t="s">
        <v>41</v>
      </c>
      <c r="G764" s="340" t="s">
        <v>42</v>
      </c>
      <c r="H764" s="326" t="s">
        <v>58</v>
      </c>
      <c r="I764" s="331" t="s">
        <v>61</v>
      </c>
      <c r="J764" s="331" t="s">
        <v>139</v>
      </c>
      <c r="K764" s="202"/>
      <c r="L764" s="201"/>
      <c r="M764" s="332" t="s">
        <v>97</v>
      </c>
      <c r="N764" s="332" t="s">
        <v>26</v>
      </c>
      <c r="O764" s="332" t="s">
        <v>60</v>
      </c>
      <c r="P764" s="327" t="s">
        <v>58</v>
      </c>
      <c r="Q764" s="202"/>
      <c r="R764" s="280"/>
    </row>
    <row r="765" spans="1:18" ht="15" customHeight="1" x14ac:dyDescent="0.2">
      <c r="A765" s="276"/>
      <c r="B765" s="195"/>
      <c r="C765" s="13"/>
      <c r="D765" s="264" t="s">
        <v>260</v>
      </c>
      <c r="E765" s="401">
        <v>1.2E-2</v>
      </c>
      <c r="F765" s="28">
        <f>SUM(H762+H758+H754+H747+H731+H722+H713+H684+H679+H643+H636+H627+H620+H614+H609+H586+H581+H574+H565+H549+H542+H513+H89+H82+H76+H771)</f>
        <v>19641709.790035084</v>
      </c>
      <c r="G765" s="28">
        <v>1</v>
      </c>
      <c r="H765" s="28">
        <f>+G765*F765*E765</f>
        <v>235700.51748042103</v>
      </c>
      <c r="I765" s="94">
        <v>0</v>
      </c>
      <c r="J765" s="94">
        <v>0</v>
      </c>
      <c r="K765" s="196"/>
      <c r="L765" s="195"/>
      <c r="M765" s="28"/>
      <c r="N765" s="28">
        <f>H765</f>
        <v>235700.51748042103</v>
      </c>
      <c r="O765" s="28"/>
      <c r="P765" s="25"/>
      <c r="Q765" s="196"/>
      <c r="R765" s="276"/>
    </row>
    <row r="766" spans="1:18" ht="15" customHeight="1" x14ac:dyDescent="0.2">
      <c r="A766" s="276"/>
      <c r="B766" s="345"/>
      <c r="C766" s="13"/>
      <c r="D766" s="264" t="s">
        <v>261</v>
      </c>
      <c r="E766" s="401">
        <v>0.03</v>
      </c>
      <c r="F766" s="28">
        <f>SUM(H762+H758+H754+H747+H731+H722+H713+H684+H679+H643+H636+H627+H620+H614+H609+H586+H581+H574+H565+H549+H542+H513+H89+H82+H76+H771)</f>
        <v>19641709.790035084</v>
      </c>
      <c r="G766" s="28">
        <v>1</v>
      </c>
      <c r="H766" s="28">
        <f>+G766*F766*E766</f>
        <v>589251.29370105255</v>
      </c>
      <c r="I766" s="94"/>
      <c r="J766" s="94"/>
      <c r="K766" s="346"/>
      <c r="L766" s="345"/>
      <c r="M766" s="28"/>
      <c r="N766" s="28">
        <f>+H766</f>
        <v>589251.29370105255</v>
      </c>
      <c r="O766" s="28"/>
      <c r="P766" s="25"/>
      <c r="Q766" s="346"/>
      <c r="R766" s="276"/>
    </row>
    <row r="767" spans="1:18" ht="15" customHeight="1" x14ac:dyDescent="0.2">
      <c r="A767" s="276"/>
      <c r="B767" s="195"/>
      <c r="C767" s="13"/>
      <c r="D767" s="264" t="s">
        <v>264</v>
      </c>
      <c r="E767" s="401">
        <v>0.21</v>
      </c>
      <c r="F767" s="28"/>
      <c r="G767" s="28"/>
      <c r="H767" s="28"/>
      <c r="I767" s="94">
        <v>0</v>
      </c>
      <c r="J767" s="94">
        <f>H767</f>
        <v>0</v>
      </c>
      <c r="K767" s="196"/>
      <c r="L767" s="195"/>
      <c r="M767" s="28"/>
      <c r="N767" s="28">
        <f>SUM(N765:N766)</f>
        <v>824951.81118147355</v>
      </c>
      <c r="O767" s="28"/>
      <c r="P767" s="25"/>
      <c r="Q767" s="196"/>
      <c r="R767" s="276"/>
    </row>
    <row r="768" spans="1:18" ht="15" customHeight="1" x14ac:dyDescent="0.2">
      <c r="A768" s="276"/>
      <c r="B768" s="345"/>
      <c r="C768" s="13"/>
      <c r="D768" s="362"/>
      <c r="E768" s="363"/>
      <c r="F768" s="481" t="s">
        <v>263</v>
      </c>
      <c r="G768" s="482"/>
      <c r="H768" s="381">
        <f>SUM(H765:H767)</f>
        <v>824951.81118147355</v>
      </c>
      <c r="I768" s="382">
        <f>SUM(I767:I767)</f>
        <v>0</v>
      </c>
      <c r="J768" s="382">
        <f>SUM(H768:I768)</f>
        <v>824951.81118147355</v>
      </c>
      <c r="K768" s="346"/>
      <c r="L768" s="345"/>
      <c r="M768" s="34"/>
      <c r="N768" s="34"/>
      <c r="O768" s="34"/>
      <c r="P768" s="393"/>
      <c r="Q768" s="346"/>
      <c r="R768" s="276"/>
    </row>
    <row r="769" spans="1:18" s="390" customFormat="1" ht="15" customHeight="1" x14ac:dyDescent="0.2">
      <c r="A769" s="395"/>
      <c r="B769" s="396"/>
      <c r="C769" s="397"/>
      <c r="D769" s="398"/>
      <c r="E769" s="399"/>
      <c r="F769" s="290"/>
      <c r="G769" s="290"/>
      <c r="H769" s="291"/>
      <c r="I769" s="291"/>
      <c r="J769" s="291"/>
      <c r="K769" s="387"/>
      <c r="L769" s="391"/>
      <c r="M769" s="293"/>
      <c r="N769" s="293"/>
      <c r="O769" s="293"/>
      <c r="P769" s="293"/>
      <c r="Q769" s="391"/>
    </row>
    <row r="770" spans="1:18" s="51" customFormat="1" ht="15" customHeight="1" x14ac:dyDescent="0.2">
      <c r="A770" s="276"/>
      <c r="B770" s="201"/>
      <c r="C770" s="301">
        <v>27</v>
      </c>
      <c r="D770" s="306" t="s">
        <v>255</v>
      </c>
      <c r="E770" s="328" t="s">
        <v>82</v>
      </c>
      <c r="F770" s="329" t="s">
        <v>41</v>
      </c>
      <c r="G770" s="340" t="s">
        <v>42</v>
      </c>
      <c r="H770" s="326" t="s">
        <v>58</v>
      </c>
      <c r="I770" s="331" t="s">
        <v>61</v>
      </c>
      <c r="J770" s="331" t="s">
        <v>139</v>
      </c>
      <c r="K770" s="202"/>
      <c r="L770" s="201"/>
      <c r="M770" s="332" t="s">
        <v>97</v>
      </c>
      <c r="N770" s="332" t="s">
        <v>26</v>
      </c>
      <c r="O770" s="332" t="s">
        <v>60</v>
      </c>
      <c r="P770" s="327" t="s">
        <v>58</v>
      </c>
      <c r="Q770" s="202"/>
      <c r="R770" s="280"/>
    </row>
    <row r="771" spans="1:18" ht="15" customHeight="1" x14ac:dyDescent="0.2">
      <c r="A771" s="276"/>
      <c r="B771" s="195"/>
      <c r="C771" s="13"/>
      <c r="D771" s="264" t="s">
        <v>262</v>
      </c>
      <c r="E771" s="394">
        <v>0.03</v>
      </c>
      <c r="F771" s="28">
        <f>SUM(H762+H758+H754+H747+H731+H722+H713+H684+H679+H643+H636+H627+H620+H614+H609+H586+H581+H574+H565+H549+H542+H513+H89+H82+H76)</f>
        <v>19069621.155373868</v>
      </c>
      <c r="G771" s="28">
        <v>1</v>
      </c>
      <c r="H771" s="28">
        <f>+G771*F771*E771</f>
        <v>572088.63466121606</v>
      </c>
      <c r="I771" s="94">
        <v>0</v>
      </c>
      <c r="J771" s="94">
        <f>+I771+H771</f>
        <v>572088.63466121606</v>
      </c>
      <c r="K771" s="196"/>
      <c r="L771" s="195"/>
      <c r="M771" s="28"/>
      <c r="N771" s="28">
        <f>H771</f>
        <v>572088.63466121606</v>
      </c>
      <c r="O771" s="28"/>
      <c r="P771" s="25"/>
      <c r="Q771" s="196"/>
      <c r="R771" s="276"/>
    </row>
    <row r="772" spans="1:18" ht="15.95" customHeight="1" thickBot="1" x14ac:dyDescent="0.25">
      <c r="A772" s="276"/>
      <c r="B772" s="211"/>
      <c r="C772" s="212"/>
      <c r="D772" s="213"/>
      <c r="E772" s="214"/>
      <c r="F772" s="213"/>
      <c r="G772" s="213"/>
      <c r="H772" s="400" t="s">
        <v>38</v>
      </c>
      <c r="I772" s="215"/>
      <c r="J772" s="215"/>
      <c r="K772" s="216"/>
      <c r="L772" s="211"/>
      <c r="M772" s="218"/>
      <c r="N772" s="218"/>
      <c r="O772" s="218"/>
      <c r="P772" s="218"/>
      <c r="Q772" s="216"/>
      <c r="R772" s="276"/>
    </row>
    <row r="773" spans="1:18" ht="13.5" thickTop="1" x14ac:dyDescent="0.2"/>
  </sheetData>
  <sheetProtection selectLockedCells="1" selectUnlockedCells="1"/>
  <mergeCells count="34">
    <mergeCell ref="F609:G609"/>
    <mergeCell ref="D3:D5"/>
    <mergeCell ref="F762:G762"/>
    <mergeCell ref="F754:G754"/>
    <mergeCell ref="F542:G542"/>
    <mergeCell ref="F549:G549"/>
    <mergeCell ref="F722:G722"/>
    <mergeCell ref="F684:G684"/>
    <mergeCell ref="F627:G627"/>
    <mergeCell ref="F614:G614"/>
    <mergeCell ref="F643:G643"/>
    <mergeCell ref="F574:G574"/>
    <mergeCell ref="F679:G679"/>
    <mergeCell ref="M3:P5"/>
    <mergeCell ref="F76:G76"/>
    <mergeCell ref="M67:P67"/>
    <mergeCell ref="F62:G62"/>
    <mergeCell ref="F511:G511"/>
    <mergeCell ref="F768:G768"/>
    <mergeCell ref="C3:C5"/>
    <mergeCell ref="F713:G713"/>
    <mergeCell ref="F636:G636"/>
    <mergeCell ref="F496:G496"/>
    <mergeCell ref="F565:G565"/>
    <mergeCell ref="F82:G82"/>
    <mergeCell ref="F89:G89"/>
    <mergeCell ref="F620:G620"/>
    <mergeCell ref="F731:G731"/>
    <mergeCell ref="F747:G747"/>
    <mergeCell ref="F758:G758"/>
    <mergeCell ref="F586:G586"/>
    <mergeCell ref="D651:D653"/>
    <mergeCell ref="F513:G513"/>
    <mergeCell ref="F581:G581"/>
  </mergeCells>
  <phoneticPr fontId="8"/>
  <pageMargins left="0.25" right="0.25" top="0.75" bottom="0.75" header="0.3" footer="0.3"/>
  <pageSetup paperSize="9" scale="69" fitToHeight="17" orientation="landscape" horizontalDpi="4294967292" verticalDpi="4294967292" r:id="rId1"/>
  <rowBreaks count="1" manualBreakCount="1">
    <brk id="14" min="1" max="256" man="1"/>
  </rowBreaks>
  <extLst>
    <ext xmlns:mx="http://schemas.microsoft.com/office/mac/excel/2008/main" uri="{64002731-A6B0-56B0-2670-7721B7C09600}">
      <mx:PLV Mode="0" OnePage="0" WScale="100"/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21"/>
  <sheetViews>
    <sheetView topLeftCell="A2" workbookViewId="0">
      <selection activeCell="B5" sqref="B5"/>
    </sheetView>
  </sheetViews>
  <sheetFormatPr baseColWidth="10" defaultRowHeight="12.75" x14ac:dyDescent="0.2"/>
  <sheetData>
    <row r="21" spans="2:2" x14ac:dyDescent="0.2">
      <c r="B21">
        <v>1</v>
      </c>
    </row>
  </sheetData>
  <pageMargins left="0.75" right="0.75" top="1" bottom="1" header="0.5" footer="0.5"/>
  <extLst>
    <ext xmlns:mx="http://schemas.microsoft.com/office/mac/excel/2008/main" uri="{64002731-A6B0-56B0-2670-7721B7C09600}">
      <mx:PLV Mode="0" OnePage="0" WScale="0"/>
    </ext>
  </extLst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PRESUPUESTO DAC 2014</vt:lpstr>
      <vt:lpstr>Hoja1</vt:lpstr>
    </vt:vector>
  </TitlesOfParts>
  <Company>Gustavo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Natacha</dc:creator>
  <cp:lastModifiedBy>Martín Ochoa</cp:lastModifiedBy>
  <cp:lastPrinted>2016-03-15T17:50:52Z</cp:lastPrinted>
  <dcterms:created xsi:type="dcterms:W3CDTF">2001-08-21T19:51:46Z</dcterms:created>
  <dcterms:modified xsi:type="dcterms:W3CDTF">2016-03-15T18:00:39Z</dcterms:modified>
</cp:coreProperties>
</file>