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 xWindow="-120" yWindow="-120" windowWidth="20640" windowHeight="11160"/>
  </bookViews>
  <sheets>
    <sheet name="PRESUPUESTO DAC 2019" sheetId="1" r:id="rId1"/>
    <sheet name="Hoja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728" i="1" l="1"/>
  <c r="G726" i="1" l="1"/>
  <c r="F101" i="1" l="1"/>
  <c r="G97" i="1" s="1"/>
  <c r="F112" i="1"/>
  <c r="G108" i="1" s="1"/>
  <c r="H108" i="1" s="1"/>
  <c r="F134" i="1"/>
  <c r="G130" i="1" s="1"/>
  <c r="H130" i="1" s="1"/>
  <c r="F171" i="1"/>
  <c r="G167" i="1" s="1"/>
  <c r="F182" i="1"/>
  <c r="G178" i="1" s="1"/>
  <c r="F215" i="1"/>
  <c r="G211" i="1"/>
  <c r="H211" i="1" s="1"/>
  <c r="F226" i="1"/>
  <c r="G222" i="1" s="1"/>
  <c r="F281" i="1"/>
  <c r="G277" i="1"/>
  <c r="F314" i="1"/>
  <c r="G310" i="1" s="1"/>
  <c r="F325" i="1"/>
  <c r="G321" i="1" s="1"/>
  <c r="F336" i="1"/>
  <c r="G332" i="1" s="1"/>
  <c r="F347" i="1"/>
  <c r="G343" i="1"/>
  <c r="H343" i="1" s="1"/>
  <c r="F405" i="1"/>
  <c r="G401" i="1" s="1"/>
  <c r="F416" i="1"/>
  <c r="G412" i="1" s="1"/>
  <c r="F438" i="1"/>
  <c r="G434" i="1" s="1"/>
  <c r="F482" i="1"/>
  <c r="G478" i="1" s="1"/>
  <c r="H478" i="1" s="1"/>
  <c r="F515" i="1"/>
  <c r="G511" i="1" s="1"/>
  <c r="F537" i="1"/>
  <c r="G533" i="1" s="1"/>
  <c r="F559" i="1"/>
  <c r="G555" i="1" s="1"/>
  <c r="F570" i="1"/>
  <c r="G566" i="1" s="1"/>
  <c r="F581" i="1"/>
  <c r="G577" i="1" s="1"/>
  <c r="F592" i="1"/>
  <c r="G588" i="1" s="1"/>
  <c r="F603" i="1"/>
  <c r="G599" i="1" s="1"/>
  <c r="F614" i="1"/>
  <c r="G610" i="1" s="1"/>
  <c r="F661" i="1"/>
  <c r="G657" i="1" s="1"/>
  <c r="F683" i="1"/>
  <c r="G679" i="1"/>
  <c r="F694" i="1"/>
  <c r="G690" i="1" s="1"/>
  <c r="H690" i="1" s="1"/>
  <c r="F705" i="1"/>
  <c r="G701" i="1" s="1"/>
  <c r="F716" i="1"/>
  <c r="G712" i="1" s="1"/>
  <c r="H790" i="1"/>
  <c r="N790" i="1" s="1"/>
  <c r="H787" i="1"/>
  <c r="I787" i="1" s="1"/>
  <c r="J787" i="1" s="1"/>
  <c r="H818" i="1"/>
  <c r="H819" i="1"/>
  <c r="H820" i="1"/>
  <c r="H821" i="1"/>
  <c r="H822" i="1"/>
  <c r="H845" i="1"/>
  <c r="J845" i="1" s="1"/>
  <c r="H933" i="1"/>
  <c r="I933" i="1" s="1"/>
  <c r="J933" i="1" s="1"/>
  <c r="H81" i="1"/>
  <c r="I81" i="1" s="1"/>
  <c r="H82" i="1"/>
  <c r="H941" i="1"/>
  <c r="J941" i="1" s="1"/>
  <c r="H942" i="1"/>
  <c r="I942" i="1" s="1"/>
  <c r="J942" i="1" s="1"/>
  <c r="H943" i="1"/>
  <c r="I943" i="1" s="1"/>
  <c r="J943" i="1" s="1"/>
  <c r="H946" i="1"/>
  <c r="J946" i="1" s="1"/>
  <c r="H960" i="1"/>
  <c r="M960" i="1" s="1"/>
  <c r="I960" i="1"/>
  <c r="H961" i="1"/>
  <c r="I961" i="1" s="1"/>
  <c r="J961" i="1" s="1"/>
  <c r="H978" i="1"/>
  <c r="I979" i="1" s="1"/>
  <c r="J979" i="1" s="1"/>
  <c r="J980" i="1" s="1"/>
  <c r="J50" i="1" s="1"/>
  <c r="H985" i="1"/>
  <c r="J985" i="1" s="1"/>
  <c r="H986" i="1"/>
  <c r="I986" i="1" s="1"/>
  <c r="H987" i="1"/>
  <c r="H989" i="1"/>
  <c r="J989" i="1" s="1"/>
  <c r="H990" i="1"/>
  <c r="J990" i="1" s="1"/>
  <c r="H993" i="1"/>
  <c r="I993" i="1" s="1"/>
  <c r="J993" i="1" s="1"/>
  <c r="H880" i="1"/>
  <c r="I880" i="1" s="1"/>
  <c r="J880" i="1" s="1"/>
  <c r="H884" i="1"/>
  <c r="N884" i="1" s="1"/>
  <c r="H887" i="1"/>
  <c r="I887" i="1" s="1"/>
  <c r="H900" i="1"/>
  <c r="H908" i="1"/>
  <c r="I908" i="1" s="1"/>
  <c r="J908" i="1" s="1"/>
  <c r="H980" i="1"/>
  <c r="H50" i="1" s="1"/>
  <c r="H733" i="1"/>
  <c r="O733" i="1" s="1"/>
  <c r="F95" i="1"/>
  <c r="H95" i="1" s="1"/>
  <c r="M95" i="1" s="1"/>
  <c r="F96" i="1"/>
  <c r="H96" i="1" s="1"/>
  <c r="F97" i="1"/>
  <c r="F102" i="1" s="1"/>
  <c r="F100" i="1"/>
  <c r="H100" i="1" s="1"/>
  <c r="O100" i="1" s="1"/>
  <c r="F106" i="1"/>
  <c r="H106" i="1" s="1"/>
  <c r="M106" i="1" s="1"/>
  <c r="F107" i="1"/>
  <c r="H107" i="1" s="1"/>
  <c r="N107" i="1" s="1"/>
  <c r="F108" i="1"/>
  <c r="F113" i="1" s="1"/>
  <c r="F111" i="1"/>
  <c r="F117" i="1"/>
  <c r="F118" i="1"/>
  <c r="H118" i="1" s="1"/>
  <c r="F119" i="1"/>
  <c r="F124" i="1" s="1"/>
  <c r="F122" i="1"/>
  <c r="H122" i="1" s="1"/>
  <c r="F128" i="1"/>
  <c r="H128" i="1" s="1"/>
  <c r="F129" i="1"/>
  <c r="H129" i="1" s="1"/>
  <c r="N129" i="1" s="1"/>
  <c r="F130" i="1"/>
  <c r="F135" i="1" s="1"/>
  <c r="F133" i="1"/>
  <c r="H133" i="1" s="1"/>
  <c r="F136" i="1"/>
  <c r="F143" i="1"/>
  <c r="F144" i="1"/>
  <c r="F145" i="1"/>
  <c r="F151" i="1" s="1"/>
  <c r="F148" i="1"/>
  <c r="H148" i="1" s="1"/>
  <c r="F154" i="1"/>
  <c r="F155" i="1"/>
  <c r="F156" i="1"/>
  <c r="F161" i="1" s="1"/>
  <c r="F159" i="1"/>
  <c r="F165" i="1"/>
  <c r="H165" i="1" s="1"/>
  <c r="M165" i="1" s="1"/>
  <c r="F166" i="1"/>
  <c r="H166" i="1" s="1"/>
  <c r="F167" i="1"/>
  <c r="F172" i="1" s="1"/>
  <c r="H172" i="1" s="1"/>
  <c r="F170" i="1"/>
  <c r="F176" i="1"/>
  <c r="H176" i="1" s="1"/>
  <c r="M176" i="1" s="1"/>
  <c r="F177" i="1"/>
  <c r="H177" i="1" s="1"/>
  <c r="F178" i="1"/>
  <c r="F183" i="1" s="1"/>
  <c r="H183" i="1" s="1"/>
  <c r="O183" i="1" s="1"/>
  <c r="F181" i="1"/>
  <c r="F187" i="1"/>
  <c r="H187" i="1" s="1"/>
  <c r="M187" i="1" s="1"/>
  <c r="F188" i="1"/>
  <c r="H188" i="1" s="1"/>
  <c r="F189" i="1"/>
  <c r="F194" i="1" s="1"/>
  <c r="F193" i="1"/>
  <c r="G189" i="1" s="1"/>
  <c r="H189" i="1" s="1"/>
  <c r="F192" i="1"/>
  <c r="H192" i="1" s="1"/>
  <c r="O192" i="1" s="1"/>
  <c r="F198" i="1"/>
  <c r="F199" i="1"/>
  <c r="F200" i="1"/>
  <c r="F206" i="1" s="1"/>
  <c r="F203" i="1"/>
  <c r="F209" i="1"/>
  <c r="H209" i="1" s="1"/>
  <c r="F210" i="1"/>
  <c r="H210" i="1" s="1"/>
  <c r="F211" i="1"/>
  <c r="F214" i="1"/>
  <c r="F220" i="1"/>
  <c r="H220" i="1" s="1"/>
  <c r="F221" i="1"/>
  <c r="H221" i="1" s="1"/>
  <c r="F222" i="1"/>
  <c r="F227" i="1" s="1"/>
  <c r="H227" i="1" s="1"/>
  <c r="F225" i="1"/>
  <c r="F231" i="1"/>
  <c r="F232" i="1"/>
  <c r="F233" i="1"/>
  <c r="F238" i="1" s="1"/>
  <c r="F236" i="1"/>
  <c r="H236" i="1" s="1"/>
  <c r="O236" i="1" s="1"/>
  <c r="F242" i="1"/>
  <c r="H242" i="1" s="1"/>
  <c r="F243" i="1"/>
  <c r="F244" i="1"/>
  <c r="F250" i="1" s="1"/>
  <c r="F247" i="1"/>
  <c r="H247" i="1" s="1"/>
  <c r="O247" i="1" s="1"/>
  <c r="F253" i="1"/>
  <c r="H253" i="1" s="1"/>
  <c r="F254" i="1"/>
  <c r="F255" i="1"/>
  <c r="F260" i="1" s="1"/>
  <c r="F258" i="1"/>
  <c r="F264" i="1"/>
  <c r="F265" i="1"/>
  <c r="F266" i="1"/>
  <c r="F272" i="1" s="1"/>
  <c r="F269" i="1"/>
  <c r="H269" i="1" s="1"/>
  <c r="O269" i="1" s="1"/>
  <c r="F275" i="1"/>
  <c r="F276" i="1"/>
  <c r="H276" i="1" s="1"/>
  <c r="F277" i="1"/>
  <c r="F280" i="1"/>
  <c r="H280" i="1" s="1"/>
  <c r="O280" i="1" s="1"/>
  <c r="F286" i="1"/>
  <c r="H286" i="1" s="1"/>
  <c r="F287" i="1"/>
  <c r="H287" i="1" s="1"/>
  <c r="N287" i="1"/>
  <c r="F288" i="1"/>
  <c r="F294" i="1" s="1"/>
  <c r="F297" i="1"/>
  <c r="H297" i="1" s="1"/>
  <c r="F298" i="1"/>
  <c r="F299" i="1"/>
  <c r="F304" i="1" s="1"/>
  <c r="F302" i="1"/>
  <c r="F308" i="1"/>
  <c r="H308" i="1" s="1"/>
  <c r="M308" i="1" s="1"/>
  <c r="F309" i="1"/>
  <c r="F310" i="1"/>
  <c r="F315" i="1" s="1"/>
  <c r="F313" i="1"/>
  <c r="H313" i="1" s="1"/>
  <c r="F319" i="1"/>
  <c r="F320" i="1"/>
  <c r="H320" i="1" s="1"/>
  <c r="F321" i="1"/>
  <c r="F326" i="1" s="1"/>
  <c r="F324" i="1"/>
  <c r="H324" i="1" s="1"/>
  <c r="O324" i="1" s="1"/>
  <c r="F327" i="1"/>
  <c r="F330" i="1"/>
  <c r="H330" i="1" s="1"/>
  <c r="F331" i="1"/>
  <c r="H331" i="1" s="1"/>
  <c r="F332" i="1"/>
  <c r="F337" i="1" s="1"/>
  <c r="H337" i="1" s="1"/>
  <c r="F335" i="1"/>
  <c r="F341" i="1"/>
  <c r="H341" i="1" s="1"/>
  <c r="M341" i="1" s="1"/>
  <c r="F342" i="1"/>
  <c r="H342" i="1" s="1"/>
  <c r="N342" i="1" s="1"/>
  <c r="F343" i="1"/>
  <c r="F348" i="1" s="1"/>
  <c r="F346" i="1"/>
  <c r="H346" i="1" s="1"/>
  <c r="O346" i="1" s="1"/>
  <c r="F352" i="1"/>
  <c r="F353" i="1"/>
  <c r="F354" i="1"/>
  <c r="F360" i="1" s="1"/>
  <c r="F357" i="1"/>
  <c r="F363" i="1"/>
  <c r="F364" i="1"/>
  <c r="F365" i="1"/>
  <c r="F370" i="1" s="1"/>
  <c r="F368" i="1"/>
  <c r="F377" i="1"/>
  <c r="H377" i="1" s="1"/>
  <c r="F378" i="1"/>
  <c r="F379" i="1"/>
  <c r="F385" i="1" s="1"/>
  <c r="F382" i="1"/>
  <c r="F388" i="1"/>
  <c r="H388" i="1" s="1"/>
  <c r="M388" i="1" s="1"/>
  <c r="F389" i="1"/>
  <c r="H389" i="1" s="1"/>
  <c r="F390" i="1"/>
  <c r="F395" i="1" s="1"/>
  <c r="F393" i="1"/>
  <c r="F399" i="1"/>
  <c r="H399" i="1" s="1"/>
  <c r="F400" i="1"/>
  <c r="H400" i="1" s="1"/>
  <c r="N400" i="1" s="1"/>
  <c r="F401" i="1"/>
  <c r="F406" i="1" s="1"/>
  <c r="H406" i="1" s="1"/>
  <c r="F404" i="1"/>
  <c r="H404" i="1" s="1"/>
  <c r="O404" i="1" s="1"/>
  <c r="F410" i="1"/>
  <c r="H410" i="1" s="1"/>
  <c r="M410" i="1" s="1"/>
  <c r="F411" i="1"/>
  <c r="H411" i="1" s="1"/>
  <c r="N411" i="1" s="1"/>
  <c r="F412" i="1"/>
  <c r="F417" i="1" s="1"/>
  <c r="F415" i="1"/>
  <c r="H415" i="1" s="1"/>
  <c r="O415" i="1"/>
  <c r="F421" i="1"/>
  <c r="F422" i="1"/>
  <c r="F423" i="1"/>
  <c r="F428" i="1" s="1"/>
  <c r="F427" i="1"/>
  <c r="G423" i="1" s="1"/>
  <c r="F426" i="1"/>
  <c r="F432" i="1"/>
  <c r="H432" i="1" s="1"/>
  <c r="M432" i="1" s="1"/>
  <c r="F433" i="1"/>
  <c r="H433" i="1" s="1"/>
  <c r="F434" i="1"/>
  <c r="F439" i="1" s="1"/>
  <c r="F437" i="1"/>
  <c r="H437" i="1" s="1"/>
  <c r="O437" i="1" s="1"/>
  <c r="F443" i="1"/>
  <c r="F444" i="1"/>
  <c r="F445" i="1"/>
  <c r="F451" i="1" s="1"/>
  <c r="F448" i="1"/>
  <c r="H448" i="1" s="1"/>
  <c r="F454" i="1"/>
  <c r="F455" i="1"/>
  <c r="F456" i="1"/>
  <c r="F461" i="1" s="1"/>
  <c r="F459" i="1"/>
  <c r="F465" i="1"/>
  <c r="F466" i="1"/>
  <c r="F467" i="1"/>
  <c r="F473" i="1" s="1"/>
  <c r="F470" i="1"/>
  <c r="H470" i="1" s="1"/>
  <c r="O470" i="1" s="1"/>
  <c r="F476" i="1"/>
  <c r="H476" i="1" s="1"/>
  <c r="M476" i="1" s="1"/>
  <c r="F477" i="1"/>
  <c r="F478" i="1"/>
  <c r="F481" i="1"/>
  <c r="F487" i="1"/>
  <c r="H487" i="1" s="1"/>
  <c r="M487" i="1" s="1"/>
  <c r="F488" i="1"/>
  <c r="H488" i="1" s="1"/>
  <c r="F489" i="1"/>
  <c r="F495" i="1" s="1"/>
  <c r="F498" i="1"/>
  <c r="F499" i="1"/>
  <c r="F500" i="1"/>
  <c r="F506" i="1" s="1"/>
  <c r="F504" i="1"/>
  <c r="G500" i="1" s="1"/>
  <c r="F503" i="1"/>
  <c r="F509" i="1"/>
  <c r="H509" i="1" s="1"/>
  <c r="M509" i="1" s="1"/>
  <c r="F510" i="1"/>
  <c r="H510" i="1" s="1"/>
  <c r="N510" i="1" s="1"/>
  <c r="F511" i="1"/>
  <c r="F516" i="1" s="1"/>
  <c r="H516" i="1" s="1"/>
  <c r="F514" i="1"/>
  <c r="H514" i="1" s="1"/>
  <c r="F520" i="1"/>
  <c r="H520" i="1" s="1"/>
  <c r="M520" i="1" s="1"/>
  <c r="F521" i="1"/>
  <c r="F522" i="1"/>
  <c r="F528" i="1" s="1"/>
  <c r="F526" i="1"/>
  <c r="G522" i="1" s="1"/>
  <c r="H522" i="1" s="1"/>
  <c r="F525" i="1"/>
  <c r="F531" i="1"/>
  <c r="H531" i="1" s="1"/>
  <c r="M531" i="1" s="1"/>
  <c r="F532" i="1"/>
  <c r="F533" i="1"/>
  <c r="F538" i="1" s="1"/>
  <c r="F536" i="1"/>
  <c r="H536" i="1" s="1"/>
  <c r="O536" i="1" s="1"/>
  <c r="F542" i="1"/>
  <c r="F543" i="1"/>
  <c r="H543" i="1" s="1"/>
  <c r="F544" i="1"/>
  <c r="F549" i="1" s="1"/>
  <c r="F547" i="1"/>
  <c r="H547" i="1" s="1"/>
  <c r="F553" i="1"/>
  <c r="F554" i="1"/>
  <c r="F555" i="1"/>
  <c r="F560" i="1" s="1"/>
  <c r="F558" i="1"/>
  <c r="F564" i="1"/>
  <c r="H564" i="1" s="1"/>
  <c r="M564" i="1" s="1"/>
  <c r="F565" i="1"/>
  <c r="F566" i="1"/>
  <c r="F571" i="1" s="1"/>
  <c r="F569" i="1"/>
  <c r="H569" i="1" s="1"/>
  <c r="O569" i="1"/>
  <c r="F575" i="1"/>
  <c r="H575" i="1" s="1"/>
  <c r="F576" i="1"/>
  <c r="H576" i="1" s="1"/>
  <c r="N576" i="1" s="1"/>
  <c r="F577" i="1"/>
  <c r="F582" i="1" s="1"/>
  <c r="H582" i="1" s="1"/>
  <c r="O582" i="1" s="1"/>
  <c r="F580" i="1"/>
  <c r="F597" i="1"/>
  <c r="F598" i="1"/>
  <c r="H598" i="1" s="1"/>
  <c r="F599" i="1"/>
  <c r="F604" i="1" s="1"/>
  <c r="F602" i="1"/>
  <c r="H602" i="1" s="1"/>
  <c r="O602" i="1" s="1"/>
  <c r="F586" i="1"/>
  <c r="H586" i="1" s="1"/>
  <c r="M586" i="1" s="1"/>
  <c r="F587" i="1"/>
  <c r="H587" i="1" s="1"/>
  <c r="N587" i="1" s="1"/>
  <c r="F588" i="1"/>
  <c r="F593" i="1" s="1"/>
  <c r="F591" i="1"/>
  <c r="F608" i="1"/>
  <c r="H608" i="1" s="1"/>
  <c r="F609" i="1"/>
  <c r="H609" i="1" s="1"/>
  <c r="F610" i="1"/>
  <c r="F615" i="1" s="1"/>
  <c r="F613" i="1"/>
  <c r="F619" i="1"/>
  <c r="H619" i="1" s="1"/>
  <c r="F620" i="1"/>
  <c r="H620" i="1" s="1"/>
  <c r="N620" i="1" s="1"/>
  <c r="F621" i="1"/>
  <c r="F627" i="1" s="1"/>
  <c r="F624" i="1"/>
  <c r="F630" i="1"/>
  <c r="F631" i="1"/>
  <c r="F632" i="1"/>
  <c r="F637" i="1" s="1"/>
  <c r="F635" i="1"/>
  <c r="F638" i="1"/>
  <c r="H638" i="1" s="1"/>
  <c r="F641" i="1"/>
  <c r="F642" i="1"/>
  <c r="H642" i="1" s="1"/>
  <c r="F643" i="1"/>
  <c r="F649" i="1" s="1"/>
  <c r="F646" i="1"/>
  <c r="F655" i="1"/>
  <c r="F656" i="1"/>
  <c r="H656" i="1" s="1"/>
  <c r="F657" i="1"/>
  <c r="F663" i="1" s="1"/>
  <c r="F660" i="1"/>
  <c r="F666" i="1"/>
  <c r="F667" i="1"/>
  <c r="H667" i="1" s="1"/>
  <c r="F668" i="1"/>
  <c r="F673" i="1" s="1"/>
  <c r="F671" i="1"/>
  <c r="F677" i="1"/>
  <c r="F678" i="1"/>
  <c r="F679" i="1"/>
  <c r="F685" i="1" s="1"/>
  <c r="F682" i="1"/>
  <c r="H682" i="1" s="1"/>
  <c r="O682" i="1" s="1"/>
  <c r="F688" i="1"/>
  <c r="H688" i="1" s="1"/>
  <c r="F689" i="1"/>
  <c r="F690" i="1"/>
  <c r="F696" i="1" s="1"/>
  <c r="F693" i="1"/>
  <c r="F699" i="1"/>
  <c r="F700" i="1"/>
  <c r="H700" i="1" s="1"/>
  <c r="N700" i="1"/>
  <c r="F701" i="1"/>
  <c r="F707" i="1" s="1"/>
  <c r="H707" i="1" s="1"/>
  <c r="O707" i="1" s="1"/>
  <c r="F704" i="1"/>
  <c r="H704" i="1" s="1"/>
  <c r="F710" i="1"/>
  <c r="H710" i="1" s="1"/>
  <c r="F711" i="1"/>
  <c r="F712" i="1"/>
  <c r="F718" i="1" s="1"/>
  <c r="F715" i="1"/>
  <c r="P60" i="1"/>
  <c r="P62" i="1"/>
  <c r="P10" i="1"/>
  <c r="O78" i="1"/>
  <c r="O8" i="1" s="1"/>
  <c r="P8" i="1" s="1"/>
  <c r="P12" i="1"/>
  <c r="P14" i="1"/>
  <c r="O768" i="1"/>
  <c r="O16" i="1" s="1"/>
  <c r="P16" i="1" s="1"/>
  <c r="P18" i="1"/>
  <c r="P20" i="1"/>
  <c r="O800" i="1"/>
  <c r="O22" i="1" s="1"/>
  <c r="P22" i="1" s="1"/>
  <c r="O807" i="1"/>
  <c r="O24" i="1" s="1"/>
  <c r="P24" i="1" s="1"/>
  <c r="O814" i="1"/>
  <c r="O26" i="1" s="1"/>
  <c r="P26" i="1" s="1"/>
  <c r="O837" i="1"/>
  <c r="O28" i="1" s="1"/>
  <c r="P28" i="1" s="1"/>
  <c r="M842" i="1"/>
  <c r="M30" i="1" s="1"/>
  <c r="O842" i="1"/>
  <c r="O30" i="1" s="1"/>
  <c r="P32" i="1"/>
  <c r="H854" i="1"/>
  <c r="N854" i="1" s="1"/>
  <c r="N855" i="1" s="1"/>
  <c r="N34" i="1" s="1"/>
  <c r="P36" i="1"/>
  <c r="P38" i="1"/>
  <c r="P40" i="1"/>
  <c r="P42" i="1"/>
  <c r="O935" i="1"/>
  <c r="O44" i="1" s="1"/>
  <c r="P44" i="1" s="1"/>
  <c r="P46" i="1"/>
  <c r="P48" i="1"/>
  <c r="O980" i="1"/>
  <c r="O50" i="1" s="1"/>
  <c r="P50" i="1" s="1"/>
  <c r="P52" i="1"/>
  <c r="P54" i="1"/>
  <c r="O56" i="1"/>
  <c r="P56" i="1" s="1"/>
  <c r="M1010" i="1"/>
  <c r="M58" i="1" s="1"/>
  <c r="H1009" i="1"/>
  <c r="H1010" i="1" s="1"/>
  <c r="H58" i="1" s="1"/>
  <c r="N58" i="1"/>
  <c r="O1010" i="1"/>
  <c r="O58" i="1" s="1"/>
  <c r="H1000" i="1"/>
  <c r="I1000" i="1" s="1"/>
  <c r="N1002" i="1"/>
  <c r="H939" i="1"/>
  <c r="N939" i="1" s="1"/>
  <c r="N942" i="1"/>
  <c r="N946" i="1"/>
  <c r="H947" i="1"/>
  <c r="N947" i="1" s="1"/>
  <c r="H949" i="1"/>
  <c r="H950" i="1"/>
  <c r="H951" i="1"/>
  <c r="N960" i="1"/>
  <c r="H963" i="1"/>
  <c r="J963" i="1" s="1"/>
  <c r="H964" i="1"/>
  <c r="M945" i="1"/>
  <c r="M946" i="1"/>
  <c r="H904" i="1"/>
  <c r="M904" i="1" s="1"/>
  <c r="H919" i="1"/>
  <c r="N919" i="1" s="1"/>
  <c r="H922" i="1"/>
  <c r="N922" i="1" s="1"/>
  <c r="H924" i="1"/>
  <c r="H925" i="1"/>
  <c r="I925" i="1" s="1"/>
  <c r="J925" i="1" s="1"/>
  <c r="H926" i="1"/>
  <c r="N926" i="1" s="1"/>
  <c r="H927" i="1"/>
  <c r="H928" i="1"/>
  <c r="N928" i="1" s="1"/>
  <c r="H929" i="1"/>
  <c r="M929" i="1" s="1"/>
  <c r="H913" i="1"/>
  <c r="O913" i="1" s="1"/>
  <c r="O930" i="1" s="1"/>
  <c r="H876" i="1"/>
  <c r="N876" i="1" s="1"/>
  <c r="H892" i="1"/>
  <c r="N892" i="1" s="1"/>
  <c r="O893" i="1"/>
  <c r="H783" i="1"/>
  <c r="M783" i="1" s="1"/>
  <c r="N772" i="1"/>
  <c r="F765" i="1"/>
  <c r="F766" i="1" s="1"/>
  <c r="P720" i="1"/>
  <c r="F636" i="1"/>
  <c r="G633" i="1"/>
  <c r="G634" i="1"/>
  <c r="G611" i="1"/>
  <c r="H611" i="1" s="1"/>
  <c r="G612" i="1"/>
  <c r="G600" i="1"/>
  <c r="G601" i="1"/>
  <c r="G578" i="1"/>
  <c r="H578" i="1" s="1"/>
  <c r="G579" i="1"/>
  <c r="G567" i="1"/>
  <c r="G568" i="1"/>
  <c r="G556" i="1"/>
  <c r="H556" i="1" s="1"/>
  <c r="G557" i="1"/>
  <c r="G523" i="1"/>
  <c r="G524" i="1"/>
  <c r="G512" i="1"/>
  <c r="H512" i="1" s="1"/>
  <c r="N512" i="1"/>
  <c r="G513" i="1"/>
  <c r="G501" i="1"/>
  <c r="G502" i="1"/>
  <c r="G479" i="1"/>
  <c r="G480" i="1"/>
  <c r="F471" i="1"/>
  <c r="G467" i="1" s="1"/>
  <c r="H467" i="1" s="1"/>
  <c r="G468" i="1"/>
  <c r="G469" i="1"/>
  <c r="G435" i="1"/>
  <c r="H435" i="1" s="1"/>
  <c r="N435" i="1" s="1"/>
  <c r="G436" i="1"/>
  <c r="H73" i="1"/>
  <c r="I73" i="1" s="1"/>
  <c r="F394" i="1"/>
  <c r="G390" i="1" s="1"/>
  <c r="F383" i="1"/>
  <c r="G379" i="1" s="1"/>
  <c r="H379" i="1" s="1"/>
  <c r="H944" i="1"/>
  <c r="I944" i="1" s="1"/>
  <c r="I62" i="1"/>
  <c r="I1010" i="1"/>
  <c r="I58" i="1" s="1"/>
  <c r="H1005" i="1"/>
  <c r="I1005" i="1" s="1"/>
  <c r="I1006" i="1" s="1"/>
  <c r="I56" i="1" s="1"/>
  <c r="H1001" i="1"/>
  <c r="H983" i="1"/>
  <c r="N983" i="1" s="1"/>
  <c r="H988" i="1"/>
  <c r="I988" i="1" s="1"/>
  <c r="H991" i="1"/>
  <c r="I991" i="1" s="1"/>
  <c r="H992" i="1"/>
  <c r="I992" i="1" s="1"/>
  <c r="I980" i="1"/>
  <c r="I50" i="1" s="1"/>
  <c r="H970" i="1"/>
  <c r="I970" i="1" s="1"/>
  <c r="J970" i="1" s="1"/>
  <c r="H971" i="1"/>
  <c r="I971" i="1" s="1"/>
  <c r="J971" i="1" s="1"/>
  <c r="H973" i="1"/>
  <c r="I973" i="1" s="1"/>
  <c r="J973" i="1" s="1"/>
  <c r="H934" i="1"/>
  <c r="I926" i="1"/>
  <c r="H911" i="1"/>
  <c r="I911" i="1" s="1"/>
  <c r="H868" i="1"/>
  <c r="H869" i="1" s="1"/>
  <c r="H38" i="1" s="1"/>
  <c r="I868" i="1"/>
  <c r="J868" i="1" s="1"/>
  <c r="J869" i="1" s="1"/>
  <c r="J38" i="1" s="1"/>
  <c r="H861" i="1"/>
  <c r="I861" i="1" s="1"/>
  <c r="H852" i="1"/>
  <c r="I852" i="1"/>
  <c r="J852" i="1" s="1"/>
  <c r="H853" i="1"/>
  <c r="I853" i="1" s="1"/>
  <c r="I848" i="1"/>
  <c r="I32" i="1" s="1"/>
  <c r="H840" i="1"/>
  <c r="I840" i="1" s="1"/>
  <c r="I842" i="1" s="1"/>
  <c r="I30" i="1" s="1"/>
  <c r="H835" i="1"/>
  <c r="H812" i="1"/>
  <c r="I812" i="1" s="1"/>
  <c r="J812" i="1" s="1"/>
  <c r="H813" i="1"/>
  <c r="I813" i="1" s="1"/>
  <c r="H803" i="1"/>
  <c r="H804" i="1"/>
  <c r="I804" i="1" s="1"/>
  <c r="H805" i="1"/>
  <c r="I805" i="1" s="1"/>
  <c r="H794" i="1"/>
  <c r="I794" i="1" s="1"/>
  <c r="H797" i="1"/>
  <c r="I797" i="1" s="1"/>
  <c r="H798" i="1"/>
  <c r="I798" i="1" s="1"/>
  <c r="H799" i="1"/>
  <c r="I799" i="1" s="1"/>
  <c r="J799" i="1" s="1"/>
  <c r="N799" i="1" s="1"/>
  <c r="H779" i="1"/>
  <c r="H781" i="1"/>
  <c r="I781" i="1" s="1"/>
  <c r="H785" i="1"/>
  <c r="I785" i="1" s="1"/>
  <c r="J785" i="1" s="1"/>
  <c r="H789" i="1"/>
  <c r="I789" i="1" s="1"/>
  <c r="J789" i="1" s="1"/>
  <c r="I775" i="1"/>
  <c r="I18" i="1" s="1"/>
  <c r="I768" i="1"/>
  <c r="I16" i="1" s="1"/>
  <c r="I720" i="1"/>
  <c r="I14" i="1" s="1"/>
  <c r="H88" i="1"/>
  <c r="I88" i="1" s="1"/>
  <c r="G380" i="1"/>
  <c r="G381" i="1"/>
  <c r="G391" i="1"/>
  <c r="H391" i="1" s="1"/>
  <c r="G392" i="1"/>
  <c r="G98" i="1"/>
  <c r="H98" i="1" s="1"/>
  <c r="N98" i="1" s="1"/>
  <c r="G99" i="1"/>
  <c r="H99" i="1" s="1"/>
  <c r="N99" i="1" s="1"/>
  <c r="G109" i="1"/>
  <c r="H109" i="1" s="1"/>
  <c r="G110" i="1"/>
  <c r="F123" i="1"/>
  <c r="G119" i="1" s="1"/>
  <c r="H119" i="1" s="1"/>
  <c r="G120" i="1"/>
  <c r="G121" i="1"/>
  <c r="H121" i="1" s="1"/>
  <c r="G131" i="1"/>
  <c r="G132" i="1"/>
  <c r="H132" i="1" s="1"/>
  <c r="N132" i="1" s="1"/>
  <c r="F149" i="1"/>
  <c r="G145" i="1" s="1"/>
  <c r="G146" i="1"/>
  <c r="G147" i="1"/>
  <c r="H147" i="1" s="1"/>
  <c r="N147" i="1" s="1"/>
  <c r="F160" i="1"/>
  <c r="G156" i="1" s="1"/>
  <c r="G157" i="1"/>
  <c r="G158" i="1"/>
  <c r="G168" i="1"/>
  <c r="H168" i="1" s="1"/>
  <c r="N168" i="1" s="1"/>
  <c r="G169" i="1"/>
  <c r="G179" i="1"/>
  <c r="G180" i="1"/>
  <c r="G190" i="1"/>
  <c r="H190" i="1" s="1"/>
  <c r="G191" i="1"/>
  <c r="F204" i="1"/>
  <c r="G200" i="1" s="1"/>
  <c r="G201" i="1"/>
  <c r="H201" i="1" s="1"/>
  <c r="N201" i="1" s="1"/>
  <c r="G202" i="1"/>
  <c r="G212" i="1"/>
  <c r="G213" i="1"/>
  <c r="G223" i="1"/>
  <c r="H223" i="1" s="1"/>
  <c r="G224" i="1"/>
  <c r="F237" i="1"/>
  <c r="G233" i="1" s="1"/>
  <c r="G234" i="1"/>
  <c r="H234" i="1" s="1"/>
  <c r="N234" i="1" s="1"/>
  <c r="G235" i="1"/>
  <c r="F248" i="1"/>
  <c r="G244" i="1" s="1"/>
  <c r="G245" i="1"/>
  <c r="G246" i="1"/>
  <c r="F259" i="1"/>
  <c r="G255" i="1" s="1"/>
  <c r="G256" i="1"/>
  <c r="H256" i="1" s="1"/>
  <c r="N256" i="1" s="1"/>
  <c r="G257" i="1"/>
  <c r="F270" i="1"/>
  <c r="G266" i="1" s="1"/>
  <c r="G267" i="1"/>
  <c r="G268" i="1"/>
  <c r="G278" i="1"/>
  <c r="G279" i="1"/>
  <c r="H279" i="1" s="1"/>
  <c r="N279" i="1" s="1"/>
  <c r="F292" i="1"/>
  <c r="G289" i="1"/>
  <c r="F289" i="1"/>
  <c r="G290" i="1"/>
  <c r="F290" i="1"/>
  <c r="F291" i="1"/>
  <c r="F303" i="1"/>
  <c r="G300" i="1"/>
  <c r="G301" i="1"/>
  <c r="H301" i="1" s="1"/>
  <c r="N301" i="1" s="1"/>
  <c r="G311" i="1"/>
  <c r="H311" i="1" s="1"/>
  <c r="N311" i="1" s="1"/>
  <c r="G312" i="1"/>
  <c r="G322" i="1"/>
  <c r="G323" i="1"/>
  <c r="H323" i="1" s="1"/>
  <c r="N323" i="1" s="1"/>
  <c r="G333" i="1"/>
  <c r="G334" i="1"/>
  <c r="G344" i="1"/>
  <c r="G345" i="1"/>
  <c r="F358" i="1"/>
  <c r="G354" i="1" s="1"/>
  <c r="G355" i="1"/>
  <c r="H355" i="1" s="1"/>
  <c r="N355" i="1" s="1"/>
  <c r="G356" i="1"/>
  <c r="F369" i="1"/>
  <c r="G366" i="1"/>
  <c r="G367" i="1"/>
  <c r="G402" i="1"/>
  <c r="H402" i="1" s="1"/>
  <c r="N402" i="1" s="1"/>
  <c r="G403" i="1"/>
  <c r="G413" i="1"/>
  <c r="G414" i="1"/>
  <c r="H414" i="1" s="1"/>
  <c r="N414" i="1" s="1"/>
  <c r="G424" i="1"/>
  <c r="G425" i="1"/>
  <c r="F449" i="1"/>
  <c r="G445" i="1" s="1"/>
  <c r="G446" i="1"/>
  <c r="G447" i="1"/>
  <c r="F460" i="1"/>
  <c r="G457" i="1"/>
  <c r="G458" i="1"/>
  <c r="F493" i="1"/>
  <c r="G489" i="1" s="1"/>
  <c r="H489" i="1" s="1"/>
  <c r="G490" i="1"/>
  <c r="F490" i="1"/>
  <c r="G491" i="1"/>
  <c r="F491" i="1"/>
  <c r="F492" i="1"/>
  <c r="G534" i="1"/>
  <c r="G535" i="1"/>
  <c r="F548" i="1"/>
  <c r="G545" i="1"/>
  <c r="G546" i="1"/>
  <c r="G589" i="1"/>
  <c r="G590" i="1"/>
  <c r="F625" i="1"/>
  <c r="G621" i="1" s="1"/>
  <c r="G622" i="1"/>
  <c r="G623" i="1"/>
  <c r="F647" i="1"/>
  <c r="G643" i="1" s="1"/>
  <c r="G644" i="1"/>
  <c r="G645" i="1"/>
  <c r="G658" i="1"/>
  <c r="G659" i="1"/>
  <c r="F672" i="1"/>
  <c r="G669" i="1"/>
  <c r="G670" i="1"/>
  <c r="G680" i="1"/>
  <c r="G681" i="1"/>
  <c r="G691" i="1"/>
  <c r="G692" i="1"/>
  <c r="G702" i="1"/>
  <c r="G703" i="1"/>
  <c r="G713" i="1"/>
  <c r="G714" i="1"/>
  <c r="C720" i="1"/>
  <c r="C651" i="1"/>
  <c r="C373" i="1"/>
  <c r="C139" i="1"/>
  <c r="G759" i="1"/>
  <c r="F759" i="1"/>
  <c r="H753" i="1"/>
  <c r="H745" i="1"/>
  <c r="H746" i="1"/>
  <c r="H747" i="1"/>
  <c r="H741" i="1"/>
  <c r="H773" i="1"/>
  <c r="J773" i="1" s="1"/>
  <c r="O773" i="1" s="1"/>
  <c r="H958" i="1"/>
  <c r="H957" i="1"/>
  <c r="J957" i="1" s="1"/>
  <c r="H955" i="1"/>
  <c r="H954" i="1"/>
  <c r="J954" i="1" s="1"/>
  <c r="H945" i="1"/>
  <c r="J945" i="1" s="1"/>
  <c r="H83" i="1"/>
  <c r="H984" i="1"/>
  <c r="M984" i="1" s="1"/>
  <c r="H994" i="1"/>
  <c r="J994" i="1" s="1"/>
  <c r="H974" i="1"/>
  <c r="H48" i="1" s="1"/>
  <c r="H846" i="1"/>
  <c r="O846" i="1" s="1"/>
  <c r="H847" i="1"/>
  <c r="O847" i="1" s="1"/>
  <c r="H841" i="1"/>
  <c r="J841" i="1" s="1"/>
  <c r="H834" i="1"/>
  <c r="J834" i="1" s="1"/>
  <c r="H824" i="1"/>
  <c r="H825" i="1"/>
  <c r="H826" i="1"/>
  <c r="H827" i="1"/>
  <c r="H828" i="1"/>
  <c r="H829" i="1"/>
  <c r="H830" i="1"/>
  <c r="H831" i="1"/>
  <c r="G832" i="1"/>
  <c r="H832" i="1" s="1"/>
  <c r="H806" i="1"/>
  <c r="M806" i="1" s="1"/>
  <c r="H795" i="1"/>
  <c r="H87" i="1"/>
  <c r="H72" i="1"/>
  <c r="J72" i="1" s="1"/>
  <c r="M72" i="1" s="1"/>
  <c r="H74" i="1"/>
  <c r="J74" i="1" s="1"/>
  <c r="M74" i="1" s="1"/>
  <c r="H75" i="1"/>
  <c r="J75" i="1" s="1"/>
  <c r="M75" i="1" s="1"/>
  <c r="H76" i="1"/>
  <c r="J76" i="1" s="1"/>
  <c r="M76" i="1" s="1"/>
  <c r="H77" i="1"/>
  <c r="J87" i="1"/>
  <c r="H836" i="1"/>
  <c r="J836" i="1" s="1"/>
  <c r="J926" i="1"/>
  <c r="J944" i="1"/>
  <c r="J984" i="1"/>
  <c r="J988" i="1"/>
  <c r="J991" i="1"/>
  <c r="J1000" i="1"/>
  <c r="D40" i="1"/>
  <c r="J781" i="1"/>
  <c r="H764" i="1"/>
  <c r="F748" i="1"/>
  <c r="J77" i="1"/>
  <c r="M77" i="1" s="1"/>
  <c r="C930" i="1"/>
  <c r="O87" i="1"/>
  <c r="O89" i="1" s="1"/>
  <c r="C893" i="1"/>
  <c r="N667" i="1"/>
  <c r="J1005" i="1"/>
  <c r="J1006" i="1" s="1"/>
  <c r="M1006" i="1"/>
  <c r="O1006" i="1"/>
  <c r="C1006" i="1"/>
  <c r="M869" i="1"/>
  <c r="C869" i="1"/>
  <c r="M862" i="1"/>
  <c r="N862" i="1"/>
  <c r="O862" i="1"/>
  <c r="C862" i="1"/>
  <c r="O516" i="1"/>
  <c r="O514" i="1"/>
  <c r="O704" i="1"/>
  <c r="N656" i="1"/>
  <c r="N642" i="1"/>
  <c r="N611" i="1"/>
  <c r="M608" i="1"/>
  <c r="N598" i="1"/>
  <c r="N578" i="1"/>
  <c r="M575" i="1"/>
  <c r="N556" i="1"/>
  <c r="O547" i="1"/>
  <c r="N543" i="1"/>
  <c r="N488" i="1"/>
  <c r="O448" i="1"/>
  <c r="N433" i="1"/>
  <c r="M399" i="1"/>
  <c r="N391" i="1"/>
  <c r="N389" i="1"/>
  <c r="M377" i="1"/>
  <c r="J1015" i="1"/>
  <c r="I1016" i="1"/>
  <c r="O987" i="1"/>
  <c r="C768" i="1"/>
  <c r="G725" i="1"/>
  <c r="O730" i="1"/>
  <c r="N729" i="1"/>
  <c r="M725" i="1"/>
  <c r="H757" i="1"/>
  <c r="H758" i="1"/>
  <c r="N96" i="1"/>
  <c r="C974" i="1"/>
  <c r="C980" i="1"/>
  <c r="C1002" i="1"/>
  <c r="C855" i="1"/>
  <c r="C848" i="1"/>
  <c r="C842" i="1"/>
  <c r="C807" i="1"/>
  <c r="C800" i="1"/>
  <c r="C791" i="1"/>
  <c r="C775" i="1"/>
  <c r="C78" i="1"/>
  <c r="C965" i="1"/>
  <c r="C935" i="1"/>
  <c r="C89" i="1"/>
  <c r="C84" i="1"/>
  <c r="C837" i="1"/>
  <c r="C995" i="1"/>
  <c r="C1010" i="1"/>
  <c r="M852" i="1"/>
  <c r="O852" i="1"/>
  <c r="O855" i="1" s="1"/>
  <c r="M209" i="1"/>
  <c r="M220" i="1"/>
  <c r="M242" i="1"/>
  <c r="M253" i="1"/>
  <c r="M286" i="1"/>
  <c r="M297" i="1"/>
  <c r="M330" i="1"/>
  <c r="M772" i="1"/>
  <c r="N121" i="1"/>
  <c r="N166" i="1"/>
  <c r="N177" i="1"/>
  <c r="N188" i="1"/>
  <c r="N190" i="1"/>
  <c r="N109" i="1"/>
  <c r="N210" i="1"/>
  <c r="N221" i="1"/>
  <c r="N223" i="1"/>
  <c r="N276" i="1"/>
  <c r="N320" i="1"/>
  <c r="N331" i="1"/>
  <c r="O148" i="1"/>
  <c r="O122" i="1"/>
  <c r="O133" i="1"/>
  <c r="O313" i="1"/>
  <c r="N78" i="1"/>
  <c r="N807" i="1"/>
  <c r="N813" i="1"/>
  <c r="N814" i="1" s="1"/>
  <c r="N848" i="1"/>
  <c r="N972" i="1"/>
  <c r="N984" i="1"/>
  <c r="O791" i="1"/>
  <c r="M973" i="1"/>
  <c r="M983" i="1"/>
  <c r="O985" i="1"/>
  <c r="O989" i="1"/>
  <c r="O1002" i="1"/>
  <c r="M837" i="1"/>
  <c r="M768" i="1"/>
  <c r="M771" i="1"/>
  <c r="C814" i="1"/>
  <c r="M1002" i="1"/>
  <c r="M84" i="1"/>
  <c r="M800" i="1"/>
  <c r="M807" i="1"/>
  <c r="M848" i="1"/>
  <c r="D16" i="1"/>
  <c r="D58" i="1"/>
  <c r="D14" i="1"/>
  <c r="D54" i="1"/>
  <c r="D52" i="1"/>
  <c r="D50" i="1"/>
  <c r="D48" i="1"/>
  <c r="D46" i="1"/>
  <c r="D44" i="1"/>
  <c r="D42" i="1"/>
  <c r="D38" i="1"/>
  <c r="D36" i="1"/>
  <c r="D34" i="1"/>
  <c r="D32" i="1"/>
  <c r="D30" i="1"/>
  <c r="D28" i="1"/>
  <c r="D26" i="1"/>
  <c r="D24" i="1"/>
  <c r="D22" i="1"/>
  <c r="D20" i="1"/>
  <c r="D18" i="1"/>
  <c r="D12" i="1"/>
  <c r="D10" i="1"/>
  <c r="D8" i="1"/>
  <c r="H566" i="1" l="1"/>
  <c r="N798" i="1"/>
  <c r="O991" i="1"/>
  <c r="H555" i="1"/>
  <c r="N555" i="1" s="1"/>
  <c r="N994" i="1"/>
  <c r="N797" i="1"/>
  <c r="J1009" i="1"/>
  <c r="J1010" i="1" s="1"/>
  <c r="J58" i="1" s="1"/>
  <c r="J797" i="1"/>
  <c r="H289" i="1"/>
  <c r="N289" i="1" s="1"/>
  <c r="H244" i="1"/>
  <c r="N244" i="1" s="1"/>
  <c r="I904" i="1"/>
  <c r="J904" i="1" s="1"/>
  <c r="H935" i="1"/>
  <c r="H44" i="1" s="1"/>
  <c r="F429" i="1"/>
  <c r="H429" i="1" s="1"/>
  <c r="O429" i="1" s="1"/>
  <c r="H360" i="1"/>
  <c r="O360" i="1" s="1"/>
  <c r="F316" i="1"/>
  <c r="H161" i="1"/>
  <c r="O960" i="1"/>
  <c r="H837" i="1"/>
  <c r="H310" i="1"/>
  <c r="N971" i="1"/>
  <c r="I928" i="1"/>
  <c r="J928" i="1" s="1"/>
  <c r="H272" i="1"/>
  <c r="O272" i="1" s="1"/>
  <c r="H238" i="1"/>
  <c r="H206" i="1"/>
  <c r="H679" i="1"/>
  <c r="O868" i="1"/>
  <c r="O869" i="1" s="1"/>
  <c r="P869" i="1" s="1"/>
  <c r="H490" i="1"/>
  <c r="I869" i="1"/>
  <c r="I38" i="1" s="1"/>
  <c r="F767" i="1"/>
  <c r="H767" i="1" s="1"/>
  <c r="N925" i="1"/>
  <c r="H615" i="1"/>
  <c r="H604" i="1"/>
  <c r="O604" i="1" s="1"/>
  <c r="H451" i="1"/>
  <c r="O451" i="1" s="1"/>
  <c r="F293" i="1"/>
  <c r="O983" i="1"/>
  <c r="H703" i="1"/>
  <c r="N703" i="1" s="1"/>
  <c r="N681" i="1"/>
  <c r="H681" i="1"/>
  <c r="H644" i="1"/>
  <c r="N644" i="1" s="1"/>
  <c r="H621" i="1"/>
  <c r="N621" i="1" s="1"/>
  <c r="H545" i="1"/>
  <c r="N545" i="1" s="1"/>
  <c r="H492" i="1"/>
  <c r="O492" i="1" s="1"/>
  <c r="H425" i="1"/>
  <c r="N425" i="1" s="1"/>
  <c r="N403" i="1"/>
  <c r="H403" i="1"/>
  <c r="H345" i="1"/>
  <c r="N345" i="1" s="1"/>
  <c r="O291" i="1"/>
  <c r="H291" i="1"/>
  <c r="H268" i="1"/>
  <c r="N268" i="1" s="1"/>
  <c r="H224" i="1"/>
  <c r="N224" i="1" s="1"/>
  <c r="H202" i="1"/>
  <c r="N202" i="1" s="1"/>
  <c r="H131" i="1"/>
  <c r="H134" i="1" s="1"/>
  <c r="H110" i="1"/>
  <c r="N110" i="1" s="1"/>
  <c r="H392" i="1"/>
  <c r="N392" i="1" s="1"/>
  <c r="H501" i="1"/>
  <c r="N501" i="1" s="1"/>
  <c r="N524" i="1"/>
  <c r="H524" i="1"/>
  <c r="H568" i="1"/>
  <c r="N568" i="1" s="1"/>
  <c r="H601" i="1"/>
  <c r="N601" i="1" s="1"/>
  <c r="H634" i="1"/>
  <c r="N634" i="1" s="1"/>
  <c r="H715" i="1"/>
  <c r="O715" i="1" s="1"/>
  <c r="H699" i="1"/>
  <c r="M699" i="1" s="1"/>
  <c r="H677" i="1"/>
  <c r="M677" i="1" s="1"/>
  <c r="H666" i="1"/>
  <c r="M666" i="1" s="1"/>
  <c r="H655" i="1"/>
  <c r="M655" i="1" s="1"/>
  <c r="H641" i="1"/>
  <c r="H647" i="1" s="1"/>
  <c r="J649" i="1" s="1"/>
  <c r="H631" i="1"/>
  <c r="H593" i="1"/>
  <c r="O593" i="1" s="1"/>
  <c r="H580" i="1"/>
  <c r="O580" i="1" s="1"/>
  <c r="H553" i="1"/>
  <c r="M553" i="1" s="1"/>
  <c r="H542" i="1"/>
  <c r="M542" i="1" s="1"/>
  <c r="H521" i="1"/>
  <c r="H503" i="1"/>
  <c r="O503" i="1" s="1"/>
  <c r="H498" i="1"/>
  <c r="H481" i="1"/>
  <c r="O481" i="1" s="1"/>
  <c r="H459" i="1"/>
  <c r="O459" i="1" s="1"/>
  <c r="H422" i="1"/>
  <c r="N422" i="1" s="1"/>
  <c r="H417" i="1"/>
  <c r="O417" i="1" s="1"/>
  <c r="H393" i="1"/>
  <c r="O393" i="1" s="1"/>
  <c r="H382" i="1"/>
  <c r="O382" i="1" s="1"/>
  <c r="H368" i="1"/>
  <c r="O368" i="1" s="1"/>
  <c r="H357" i="1"/>
  <c r="O357" i="1" s="1"/>
  <c r="H335" i="1"/>
  <c r="O335" i="1" s="1"/>
  <c r="H327" i="1"/>
  <c r="O327" i="1" s="1"/>
  <c r="H319" i="1"/>
  <c r="M319" i="1" s="1"/>
  <c r="H309" i="1"/>
  <c r="H314" i="1" s="1"/>
  <c r="H298" i="1"/>
  <c r="H258" i="1"/>
  <c r="O258" i="1" s="1"/>
  <c r="H225" i="1"/>
  <c r="O225" i="1" s="1"/>
  <c r="H214" i="1"/>
  <c r="O214" i="1" s="1"/>
  <c r="H203" i="1"/>
  <c r="O203" i="1" s="1"/>
  <c r="H154" i="1"/>
  <c r="M154" i="1" s="1"/>
  <c r="H143" i="1"/>
  <c r="M143" i="1" s="1"/>
  <c r="H610" i="1"/>
  <c r="P1002" i="1"/>
  <c r="O988" i="1"/>
  <c r="M970" i="1"/>
  <c r="N970" i="1" s="1"/>
  <c r="N974" i="1" s="1"/>
  <c r="J813" i="1"/>
  <c r="H702" i="1"/>
  <c r="N702" i="1" s="1"/>
  <c r="H680" i="1"/>
  <c r="N680" i="1" s="1"/>
  <c r="H659" i="1"/>
  <c r="N659" i="1" s="1"/>
  <c r="H643" i="1"/>
  <c r="N643" i="1" s="1"/>
  <c r="H590" i="1"/>
  <c r="N590" i="1" s="1"/>
  <c r="H447" i="1"/>
  <c r="N447" i="1" s="1"/>
  <c r="H424" i="1"/>
  <c r="N424" i="1" s="1"/>
  <c r="N356" i="1"/>
  <c r="H356" i="1"/>
  <c r="H344" i="1"/>
  <c r="H322" i="1"/>
  <c r="N322" i="1" s="1"/>
  <c r="H267" i="1"/>
  <c r="N267" i="1" s="1"/>
  <c r="H255" i="1"/>
  <c r="N255" i="1" s="1"/>
  <c r="H235" i="1"/>
  <c r="N235" i="1" s="1"/>
  <c r="H180" i="1"/>
  <c r="N180" i="1" s="1"/>
  <c r="H158" i="1"/>
  <c r="N158" i="1" s="1"/>
  <c r="H146" i="1"/>
  <c r="N146" i="1" s="1"/>
  <c r="N390" i="1"/>
  <c r="H390" i="1"/>
  <c r="H469" i="1"/>
  <c r="N469" i="1" s="1"/>
  <c r="H480" i="1"/>
  <c r="N480" i="1" s="1"/>
  <c r="H513" i="1"/>
  <c r="N513" i="1" s="1"/>
  <c r="H523" i="1"/>
  <c r="N523" i="1" s="1"/>
  <c r="H567" i="1"/>
  <c r="N567" i="1" s="1"/>
  <c r="H600" i="1"/>
  <c r="N600" i="1" s="1"/>
  <c r="H633" i="1"/>
  <c r="N633" i="1" s="1"/>
  <c r="M908" i="1"/>
  <c r="N908" i="1" s="1"/>
  <c r="H718" i="1"/>
  <c r="O718" i="1" s="1"/>
  <c r="H693" i="1"/>
  <c r="O693" i="1" s="1"/>
  <c r="H671" i="1"/>
  <c r="O671" i="1" s="1"/>
  <c r="H660" i="1"/>
  <c r="O660" i="1" s="1"/>
  <c r="H646" i="1"/>
  <c r="O646" i="1" s="1"/>
  <c r="H630" i="1"/>
  <c r="M630" i="1" s="1"/>
  <c r="H558" i="1"/>
  <c r="O558" i="1" s="1"/>
  <c r="H525" i="1"/>
  <c r="O525" i="1" s="1"/>
  <c r="H500" i="1"/>
  <c r="N500" i="1" s="1"/>
  <c r="H495" i="1"/>
  <c r="O495" i="1" s="1"/>
  <c r="H473" i="1"/>
  <c r="O473" i="1" s="1"/>
  <c r="H461" i="1"/>
  <c r="H439" i="1"/>
  <c r="O439" i="1" s="1"/>
  <c r="H426" i="1"/>
  <c r="O426" i="1" s="1"/>
  <c r="H421" i="1"/>
  <c r="H395" i="1"/>
  <c r="O395" i="1" s="1"/>
  <c r="H385" i="1"/>
  <c r="O385" i="1" s="1"/>
  <c r="H370" i="1"/>
  <c r="O370" i="1" s="1"/>
  <c r="H348" i="1"/>
  <c r="O348" i="1" s="1"/>
  <c r="H316" i="1"/>
  <c r="O316" i="1" s="1"/>
  <c r="H260" i="1"/>
  <c r="H250" i="1"/>
  <c r="O250" i="1" s="1"/>
  <c r="H181" i="1"/>
  <c r="O181" i="1" s="1"/>
  <c r="H170" i="1"/>
  <c r="O170" i="1" s="1"/>
  <c r="H159" i="1"/>
  <c r="O159" i="1" s="1"/>
  <c r="H136" i="1"/>
  <c r="O136" i="1" s="1"/>
  <c r="H117" i="1"/>
  <c r="M117" i="1" s="1"/>
  <c r="H599" i="1"/>
  <c r="N599" i="1" s="1"/>
  <c r="H434" i="1"/>
  <c r="H277" i="1"/>
  <c r="M813" i="1"/>
  <c r="M814" i="1" s="1"/>
  <c r="M994" i="1"/>
  <c r="M995" i="1" s="1"/>
  <c r="N934" i="1"/>
  <c r="N935" i="1" s="1"/>
  <c r="N118" i="1"/>
  <c r="M128" i="1"/>
  <c r="O993" i="1"/>
  <c r="J805" i="1"/>
  <c r="H89" i="1"/>
  <c r="H12" i="1" s="1"/>
  <c r="H862" i="1"/>
  <c r="H36" i="1" s="1"/>
  <c r="H714" i="1"/>
  <c r="N714" i="1" s="1"/>
  <c r="H692" i="1"/>
  <c r="N692" i="1" s="1"/>
  <c r="H670" i="1"/>
  <c r="N670" i="1" s="1"/>
  <c r="H658" i="1"/>
  <c r="N658" i="1" s="1"/>
  <c r="H623" i="1"/>
  <c r="N623" i="1" s="1"/>
  <c r="H589" i="1"/>
  <c r="H535" i="1"/>
  <c r="N535" i="1" s="1"/>
  <c r="H491" i="1"/>
  <c r="H493" i="1" s="1"/>
  <c r="N458" i="1"/>
  <c r="H458" i="1"/>
  <c r="H446" i="1"/>
  <c r="N446" i="1" s="1"/>
  <c r="H367" i="1"/>
  <c r="N367" i="1" s="1"/>
  <c r="H334" i="1"/>
  <c r="N334" i="1" s="1"/>
  <c r="H312" i="1"/>
  <c r="N312" i="1" s="1"/>
  <c r="H300" i="1"/>
  <c r="N300" i="1" s="1"/>
  <c r="H290" i="1"/>
  <c r="H266" i="1"/>
  <c r="N266" i="1" s="1"/>
  <c r="H246" i="1"/>
  <c r="N246" i="1" s="1"/>
  <c r="H213" i="1"/>
  <c r="N213" i="1" s="1"/>
  <c r="H200" i="1"/>
  <c r="N200" i="1" s="1"/>
  <c r="H179" i="1"/>
  <c r="N179" i="1" s="1"/>
  <c r="H157" i="1"/>
  <c r="N157" i="1" s="1"/>
  <c r="H145" i="1"/>
  <c r="N145" i="1" s="1"/>
  <c r="H120" i="1"/>
  <c r="N120" i="1" s="1"/>
  <c r="H381" i="1"/>
  <c r="N381" i="1" s="1"/>
  <c r="I939" i="1"/>
  <c r="J939" i="1" s="1"/>
  <c r="N468" i="1"/>
  <c r="H468" i="1"/>
  <c r="H479" i="1"/>
  <c r="N479" i="1" s="1"/>
  <c r="H557" i="1"/>
  <c r="N557" i="1" s="1"/>
  <c r="H579" i="1"/>
  <c r="N579" i="1" s="1"/>
  <c r="H612" i="1"/>
  <c r="N612" i="1" s="1"/>
  <c r="M939" i="1"/>
  <c r="H711" i="1"/>
  <c r="H696" i="1"/>
  <c r="O696" i="1" s="1"/>
  <c r="H685" i="1"/>
  <c r="O685" i="1" s="1"/>
  <c r="H673" i="1"/>
  <c r="O673" i="1" s="1"/>
  <c r="H663" i="1"/>
  <c r="O663" i="1" s="1"/>
  <c r="H649" i="1"/>
  <c r="H635" i="1"/>
  <c r="O635" i="1" s="1"/>
  <c r="H624" i="1"/>
  <c r="O624" i="1" s="1"/>
  <c r="H571" i="1"/>
  <c r="H560" i="1"/>
  <c r="H549" i="1"/>
  <c r="H538" i="1"/>
  <c r="O538" i="1" s="1"/>
  <c r="H506" i="1"/>
  <c r="H477" i="1"/>
  <c r="N466" i="1"/>
  <c r="H466" i="1"/>
  <c r="H455" i="1"/>
  <c r="N455" i="1" s="1"/>
  <c r="H444" i="1"/>
  <c r="N444" i="1" s="1"/>
  <c r="H423" i="1"/>
  <c r="N423" i="1" s="1"/>
  <c r="H394" i="1"/>
  <c r="H378" i="1"/>
  <c r="H364" i="1"/>
  <c r="H353" i="1"/>
  <c r="H326" i="1"/>
  <c r="O326" i="1" s="1"/>
  <c r="H302" i="1"/>
  <c r="O302" i="1" s="1"/>
  <c r="H293" i="1"/>
  <c r="H275" i="1"/>
  <c r="H265" i="1"/>
  <c r="H254" i="1"/>
  <c r="H243" i="1"/>
  <c r="H232" i="1"/>
  <c r="H199" i="1"/>
  <c r="N199" i="1" s="1"/>
  <c r="H194" i="1"/>
  <c r="O194" i="1" s="1"/>
  <c r="H151" i="1"/>
  <c r="H111" i="1"/>
  <c r="O111" i="1" s="1"/>
  <c r="H712" i="1"/>
  <c r="N712" i="1" s="1"/>
  <c r="H588" i="1"/>
  <c r="N588" i="1" s="1"/>
  <c r="H533" i="1"/>
  <c r="H412" i="1"/>
  <c r="H332" i="1"/>
  <c r="H336" i="1" s="1"/>
  <c r="H178" i="1"/>
  <c r="N178" i="1" s="1"/>
  <c r="P1010" i="1"/>
  <c r="O990" i="1"/>
  <c r="N973" i="1"/>
  <c r="O973" i="1" s="1"/>
  <c r="O974" i="1" s="1"/>
  <c r="N609" i="1"/>
  <c r="M87" i="1"/>
  <c r="M89" i="1" s="1"/>
  <c r="H765" i="1"/>
  <c r="J767" i="1" s="1"/>
  <c r="J804" i="1"/>
  <c r="J847" i="1"/>
  <c r="H800" i="1"/>
  <c r="H22" i="1" s="1"/>
  <c r="H713" i="1"/>
  <c r="N713" i="1" s="1"/>
  <c r="H691" i="1"/>
  <c r="N691" i="1" s="1"/>
  <c r="H669" i="1"/>
  <c r="N669" i="1" s="1"/>
  <c r="H645" i="1"/>
  <c r="N645" i="1" s="1"/>
  <c r="H622" i="1"/>
  <c r="H546" i="1"/>
  <c r="N546" i="1" s="1"/>
  <c r="H534" i="1"/>
  <c r="N534" i="1" s="1"/>
  <c r="H457" i="1"/>
  <c r="N457" i="1" s="1"/>
  <c r="H445" i="1"/>
  <c r="N445" i="1" s="1"/>
  <c r="H413" i="1"/>
  <c r="N413" i="1" s="1"/>
  <c r="H366" i="1"/>
  <c r="N366" i="1" s="1"/>
  <c r="H354" i="1"/>
  <c r="N354" i="1" s="1"/>
  <c r="H333" i="1"/>
  <c r="N333" i="1" s="1"/>
  <c r="H278" i="1"/>
  <c r="N278" i="1" s="1"/>
  <c r="H257" i="1"/>
  <c r="N257" i="1" s="1"/>
  <c r="H245" i="1"/>
  <c r="N245" i="1" s="1"/>
  <c r="H233" i="1"/>
  <c r="N233" i="1" s="1"/>
  <c r="H212" i="1"/>
  <c r="H191" i="1"/>
  <c r="H193" i="1" s="1"/>
  <c r="H169" i="1"/>
  <c r="N169" i="1" s="1"/>
  <c r="H156" i="1"/>
  <c r="N156" i="1" s="1"/>
  <c r="H380" i="1"/>
  <c r="N380" i="1" s="1"/>
  <c r="H436" i="1"/>
  <c r="H438" i="1" s="1"/>
  <c r="H502" i="1"/>
  <c r="N502" i="1" s="1"/>
  <c r="H689" i="1"/>
  <c r="N689" i="1" s="1"/>
  <c r="H678" i="1"/>
  <c r="H683" i="1" s="1"/>
  <c r="H637" i="1"/>
  <c r="O637" i="1" s="1"/>
  <c r="H627" i="1"/>
  <c r="O627" i="1" s="1"/>
  <c r="H613" i="1"/>
  <c r="O613" i="1" s="1"/>
  <c r="H591" i="1"/>
  <c r="O591" i="1" s="1"/>
  <c r="H597" i="1"/>
  <c r="H565" i="1"/>
  <c r="H554" i="1"/>
  <c r="N532" i="1"/>
  <c r="H532" i="1"/>
  <c r="H528" i="1"/>
  <c r="H499" i="1"/>
  <c r="N499" i="1" s="1"/>
  <c r="H465" i="1"/>
  <c r="M465" i="1" s="1"/>
  <c r="H454" i="1"/>
  <c r="H443" i="1"/>
  <c r="M443" i="1" s="1"/>
  <c r="H428" i="1"/>
  <c r="O428" i="1" s="1"/>
  <c r="H405" i="1"/>
  <c r="H363" i="1"/>
  <c r="M363" i="1" s="1"/>
  <c r="H352" i="1"/>
  <c r="M352" i="1" s="1"/>
  <c r="H315" i="1"/>
  <c r="O315" i="1" s="1"/>
  <c r="H304" i="1"/>
  <c r="O304" i="1" s="1"/>
  <c r="H294" i="1"/>
  <c r="O294" i="1" s="1"/>
  <c r="F271" i="1"/>
  <c r="H271" i="1" s="1"/>
  <c r="H264" i="1"/>
  <c r="M264" i="1" s="1"/>
  <c r="H231" i="1"/>
  <c r="M231" i="1" s="1"/>
  <c r="H198" i="1"/>
  <c r="M198" i="1" s="1"/>
  <c r="H182" i="1"/>
  <c r="H155" i="1"/>
  <c r="N155" i="1" s="1"/>
  <c r="H144" i="1"/>
  <c r="O135" i="1"/>
  <c r="H135" i="1"/>
  <c r="H124" i="1"/>
  <c r="O124" i="1" s="1"/>
  <c r="H113" i="1"/>
  <c r="O113" i="1" s="1"/>
  <c r="H102" i="1"/>
  <c r="O102" i="1" s="1"/>
  <c r="H701" i="1"/>
  <c r="N701" i="1" s="1"/>
  <c r="H657" i="1"/>
  <c r="N657" i="1" s="1"/>
  <c r="H577" i="1"/>
  <c r="H581" i="1" s="1"/>
  <c r="H511" i="1"/>
  <c r="N511" i="1" s="1"/>
  <c r="H401" i="1"/>
  <c r="N401" i="1" s="1"/>
  <c r="H321" i="1"/>
  <c r="H222" i="1"/>
  <c r="H226" i="1" s="1"/>
  <c r="H167" i="1"/>
  <c r="N167" i="1" s="1"/>
  <c r="P842" i="1"/>
  <c r="M934" i="1"/>
  <c r="M935" i="1" s="1"/>
  <c r="P935" i="1" s="1"/>
  <c r="M853" i="1"/>
  <c r="O992" i="1"/>
  <c r="F125" i="1"/>
  <c r="H125" i="1" s="1"/>
  <c r="J958" i="1"/>
  <c r="J911" i="1"/>
  <c r="I892" i="1"/>
  <c r="J892" i="1" s="1"/>
  <c r="I929" i="1"/>
  <c r="M790" i="1"/>
  <c r="M791" i="1" s="1"/>
  <c r="P791" i="1" s="1"/>
  <c r="N787" i="1"/>
  <c r="N791" i="1" s="1"/>
  <c r="N927" i="1"/>
  <c r="M961" i="1"/>
  <c r="N961" i="1"/>
  <c r="F662" i="1"/>
  <c r="O560" i="1"/>
  <c r="F195" i="1"/>
  <c r="F205" i="1"/>
  <c r="O81" i="1"/>
  <c r="O84" i="1" s="1"/>
  <c r="H766" i="1"/>
  <c r="H84" i="1"/>
  <c r="H10" i="1" s="1"/>
  <c r="N119" i="1"/>
  <c r="I783" i="1"/>
  <c r="J783" i="1" s="1"/>
  <c r="I927" i="1"/>
  <c r="J927" i="1" s="1"/>
  <c r="M775" i="1"/>
  <c r="O986" i="1"/>
  <c r="J947" i="1"/>
  <c r="M947" i="1"/>
  <c r="O947" i="1" s="1"/>
  <c r="P980" i="1"/>
  <c r="P807" i="1"/>
  <c r="P768" i="1"/>
  <c r="N806" i="1"/>
  <c r="M854" i="1"/>
  <c r="N489" i="1"/>
  <c r="N379" i="1"/>
  <c r="I922" i="1"/>
  <c r="J922" i="1" s="1"/>
  <c r="N467" i="1"/>
  <c r="O943" i="1"/>
  <c r="O942" i="1"/>
  <c r="I78" i="1"/>
  <c r="I8" i="1" s="1"/>
  <c r="J73" i="1"/>
  <c r="J78" i="1" s="1"/>
  <c r="J8" i="1" s="1"/>
  <c r="N610" i="1"/>
  <c r="N566" i="1"/>
  <c r="P814" i="1"/>
  <c r="F103" i="1"/>
  <c r="H103" i="1" s="1"/>
  <c r="O103" i="1" s="1"/>
  <c r="P862" i="1"/>
  <c r="J83" i="1"/>
  <c r="N83" i="1" s="1"/>
  <c r="N84" i="1" s="1"/>
  <c r="O984" i="1"/>
  <c r="F371" i="1"/>
  <c r="H755" i="1"/>
  <c r="H754" i="1"/>
  <c r="J755" i="1" s="1"/>
  <c r="N522" i="1"/>
  <c r="F418" i="1"/>
  <c r="F407" i="1"/>
  <c r="F396" i="1"/>
  <c r="F338" i="1"/>
  <c r="H338" i="1" s="1"/>
  <c r="O338" i="1" s="1"/>
  <c r="F261" i="1"/>
  <c r="H261" i="1" s="1"/>
  <c r="I862" i="1"/>
  <c r="I36" i="1" s="1"/>
  <c r="J861" i="1"/>
  <c r="J862" i="1" s="1"/>
  <c r="J36" i="1" s="1"/>
  <c r="P30" i="1"/>
  <c r="N690" i="1"/>
  <c r="H743" i="1"/>
  <c r="H742" i="1"/>
  <c r="J743" i="1" s="1"/>
  <c r="C721" i="1"/>
  <c r="H726" i="1" s="1"/>
  <c r="H732" i="1" s="1"/>
  <c r="F674" i="1"/>
  <c r="H674" i="1" s="1"/>
  <c r="O674" i="1" s="1"/>
  <c r="F626" i="1"/>
  <c r="H626" i="1" s="1"/>
  <c r="O626" i="1" s="1"/>
  <c r="O528" i="1"/>
  <c r="F472" i="1"/>
  <c r="F462" i="1"/>
  <c r="H462" i="1" s="1"/>
  <c r="O462" i="1" s="1"/>
  <c r="O406" i="1"/>
  <c r="O337" i="1"/>
  <c r="F239" i="1"/>
  <c r="H239" i="1" s="1"/>
  <c r="J960" i="1"/>
  <c r="N679" i="1"/>
  <c r="N800" i="1"/>
  <c r="P800" i="1" s="1"/>
  <c r="J806" i="1"/>
  <c r="J795" i="1"/>
  <c r="H814" i="1"/>
  <c r="H26" i="1" s="1"/>
  <c r="I854" i="1"/>
  <c r="J854" i="1" s="1"/>
  <c r="N964" i="1"/>
  <c r="H952" i="1"/>
  <c r="I952" i="1" s="1"/>
  <c r="O615" i="1"/>
  <c r="O571" i="1"/>
  <c r="F550" i="1"/>
  <c r="O506" i="1"/>
  <c r="F305" i="1"/>
  <c r="H305" i="1" s="1"/>
  <c r="O305" i="1" s="1"/>
  <c r="F162" i="1"/>
  <c r="F150" i="1"/>
  <c r="H150" i="1" s="1"/>
  <c r="F114" i="1"/>
  <c r="N108" i="1"/>
  <c r="O125" i="1"/>
  <c r="J840" i="1"/>
  <c r="J842" i="1" s="1"/>
  <c r="J30" i="1" s="1"/>
  <c r="J794" i="1"/>
  <c r="H848" i="1"/>
  <c r="H32" i="1" s="1"/>
  <c r="N490" i="1"/>
  <c r="N290" i="1"/>
  <c r="I919" i="1"/>
  <c r="J919" i="1" s="1"/>
  <c r="O227" i="1"/>
  <c r="O172" i="1"/>
  <c r="H97" i="1"/>
  <c r="N97" i="1" s="1"/>
  <c r="N995" i="1"/>
  <c r="J814" i="1"/>
  <c r="J26" i="1" s="1"/>
  <c r="N87" i="1"/>
  <c r="N89" i="1" s="1"/>
  <c r="P89" i="1" s="1"/>
  <c r="I735" i="1"/>
  <c r="I737" i="1" s="1"/>
  <c r="J992" i="1"/>
  <c r="J955" i="1"/>
  <c r="J846" i="1"/>
  <c r="J798" i="1"/>
  <c r="H78" i="1"/>
  <c r="H8" i="1" s="1"/>
  <c r="M78" i="1"/>
  <c r="P78" i="1" s="1"/>
  <c r="J832" i="1"/>
  <c r="N832" i="1" s="1"/>
  <c r="N837" i="1" s="1"/>
  <c r="P837" i="1" s="1"/>
  <c r="H842" i="1"/>
  <c r="H30" i="1" s="1"/>
  <c r="H855" i="1"/>
  <c r="H34" i="1" s="1"/>
  <c r="G288" i="1"/>
  <c r="I814" i="1"/>
  <c r="I26" i="1" s="1"/>
  <c r="G668" i="1"/>
  <c r="O848" i="1"/>
  <c r="P848" i="1" s="1"/>
  <c r="G632" i="1"/>
  <c r="P84" i="1"/>
  <c r="P1006" i="1"/>
  <c r="H728" i="1"/>
  <c r="N728" i="1" s="1"/>
  <c r="I800" i="1"/>
  <c r="I22" i="1" s="1"/>
  <c r="I913" i="1"/>
  <c r="J913" i="1" s="1"/>
  <c r="I964" i="1"/>
  <c r="J964" i="1" s="1"/>
  <c r="F648" i="1"/>
  <c r="H648" i="1" s="1"/>
  <c r="F594" i="1"/>
  <c r="F583" i="1"/>
  <c r="F561" i="1"/>
  <c r="F527" i="1"/>
  <c r="F505" i="1"/>
  <c r="F494" i="1"/>
  <c r="H494" i="1" s="1"/>
  <c r="O494" i="1" s="1"/>
  <c r="O206" i="1"/>
  <c r="F184" i="1"/>
  <c r="I987" i="1"/>
  <c r="J987" i="1" s="1"/>
  <c r="N343" i="1"/>
  <c r="N277" i="1"/>
  <c r="N904" i="1"/>
  <c r="F616" i="1"/>
  <c r="F605" i="1"/>
  <c r="F572" i="1"/>
  <c r="F450" i="1"/>
  <c r="F440" i="1"/>
  <c r="F384" i="1"/>
  <c r="F249" i="1"/>
  <c r="H249" i="1" s="1"/>
  <c r="O249" i="1" s="1"/>
  <c r="N189" i="1"/>
  <c r="F173" i="1"/>
  <c r="F539" i="1"/>
  <c r="F517" i="1"/>
  <c r="F359" i="1"/>
  <c r="F349" i="1"/>
  <c r="J986" i="1"/>
  <c r="J848" i="1"/>
  <c r="J32" i="1" s="1"/>
  <c r="J822" i="1"/>
  <c r="H893" i="1"/>
  <c r="H40" i="1" s="1"/>
  <c r="I876" i="1"/>
  <c r="J876" i="1" s="1"/>
  <c r="N893" i="1"/>
  <c r="P893" i="1" s="1"/>
  <c r="H748" i="1"/>
  <c r="F749" i="1" s="1"/>
  <c r="H749" i="1" s="1"/>
  <c r="H1006" i="1"/>
  <c r="H56" i="1" s="1"/>
  <c r="J56" i="1" s="1"/>
  <c r="O260" i="1"/>
  <c r="O238" i="1"/>
  <c r="O161" i="1"/>
  <c r="J974" i="1"/>
  <c r="J48" i="1" s="1"/>
  <c r="H759" i="1"/>
  <c r="N491" i="1"/>
  <c r="O461" i="1"/>
  <c r="G456" i="1"/>
  <c r="G365" i="1"/>
  <c r="I974" i="1"/>
  <c r="I48" i="1" s="1"/>
  <c r="O549" i="1"/>
  <c r="G544" i="1"/>
  <c r="G299" i="1"/>
  <c r="I803" i="1"/>
  <c r="I807" i="1" s="1"/>
  <c r="I24" i="1" s="1"/>
  <c r="H807" i="1"/>
  <c r="H24" i="1" s="1"/>
  <c r="I835" i="1"/>
  <c r="P58" i="1"/>
  <c r="M64" i="1"/>
  <c r="M710" i="1"/>
  <c r="M688" i="1"/>
  <c r="J853" i="1"/>
  <c r="J929" i="1"/>
  <c r="F282" i="1"/>
  <c r="F283" i="1"/>
  <c r="F216" i="1"/>
  <c r="F217" i="1"/>
  <c r="I89" i="1"/>
  <c r="I12" i="1" s="1"/>
  <c r="J88" i="1"/>
  <c r="J89" i="1" s="1"/>
  <c r="J12" i="1" s="1"/>
  <c r="I1001" i="1"/>
  <c r="J1001" i="1" s="1"/>
  <c r="N924" i="1"/>
  <c r="I924" i="1"/>
  <c r="M619" i="1"/>
  <c r="F483" i="1"/>
  <c r="F484" i="1"/>
  <c r="H791" i="1"/>
  <c r="H20" i="1" s="1"/>
  <c r="O946" i="1"/>
  <c r="P34" i="1"/>
  <c r="N64" i="1"/>
  <c r="O64" i="1"/>
  <c r="O638" i="1"/>
  <c r="O293" i="1"/>
  <c r="O150" i="1"/>
  <c r="O151" i="1"/>
  <c r="J81" i="1"/>
  <c r="M952" i="1"/>
  <c r="O271" i="1"/>
  <c r="O239" i="1"/>
  <c r="I900" i="1"/>
  <c r="J900" i="1" s="1"/>
  <c r="M900" i="1"/>
  <c r="I779" i="1"/>
  <c r="I934" i="1"/>
  <c r="H995" i="1"/>
  <c r="H52" i="1" s="1"/>
  <c r="I995" i="1"/>
  <c r="I52" i="1" s="1"/>
  <c r="I983" i="1"/>
  <c r="J983" i="1" s="1"/>
  <c r="O648" i="1"/>
  <c r="O649" i="1"/>
  <c r="O261" i="1"/>
  <c r="F228" i="1"/>
  <c r="N478" i="1"/>
  <c r="F717" i="1"/>
  <c r="F706" i="1"/>
  <c r="F695" i="1"/>
  <c r="F684" i="1"/>
  <c r="I884" i="1"/>
  <c r="I82" i="1"/>
  <c r="I84" i="1" s="1"/>
  <c r="I10" i="1" s="1"/>
  <c r="N434" i="1"/>
  <c r="N130" i="1"/>
  <c r="H930" i="1"/>
  <c r="N310" i="1"/>
  <c r="J887" i="1"/>
  <c r="I790" i="1"/>
  <c r="J790" i="1" s="1"/>
  <c r="N533" i="1"/>
  <c r="N211" i="1"/>
  <c r="F774" i="1" l="1"/>
  <c r="H774" i="1" s="1"/>
  <c r="H149" i="1"/>
  <c r="H215" i="1"/>
  <c r="J338" i="1"/>
  <c r="H383" i="1"/>
  <c r="H482" i="1"/>
  <c r="J495" i="1"/>
  <c r="J855" i="1"/>
  <c r="J34" i="1" s="1"/>
  <c r="G731" i="1"/>
  <c r="H731" i="1" s="1"/>
  <c r="H727" i="1"/>
  <c r="N727" i="1" s="1"/>
  <c r="H325" i="1"/>
  <c r="J327" i="1" s="1"/>
  <c r="H570" i="1"/>
  <c r="H625" i="1"/>
  <c r="J627" i="1" s="1"/>
  <c r="H416" i="1"/>
  <c r="H281" i="1"/>
  <c r="H347" i="1"/>
  <c r="H526" i="1"/>
  <c r="N131" i="1"/>
  <c r="J800" i="1"/>
  <c r="J22" i="1" s="1"/>
  <c r="N577" i="1"/>
  <c r="N222" i="1"/>
  <c r="P64" i="1"/>
  <c r="M855" i="1"/>
  <c r="P855" i="1" s="1"/>
  <c r="H515" i="1"/>
  <c r="J517" i="1" s="1"/>
  <c r="H592" i="1"/>
  <c r="H684" i="1"/>
  <c r="O684" i="1" s="1"/>
  <c r="H283" i="1"/>
  <c r="O283" i="1" s="1"/>
  <c r="H517" i="1"/>
  <c r="O517" i="1" s="1"/>
  <c r="H450" i="1"/>
  <c r="O450" i="1" s="1"/>
  <c r="H505" i="1"/>
  <c r="O505" i="1" s="1"/>
  <c r="H594" i="1"/>
  <c r="H668" i="1"/>
  <c r="H672" i="1" s="1"/>
  <c r="J674" i="1" s="1"/>
  <c r="H371" i="1"/>
  <c r="O371" i="1" s="1"/>
  <c r="H237" i="1"/>
  <c r="J239" i="1" s="1"/>
  <c r="H259" i="1"/>
  <c r="J261" i="1" s="1"/>
  <c r="H358" i="1"/>
  <c r="J385" i="1"/>
  <c r="H716" i="1"/>
  <c r="J718" i="1" s="1"/>
  <c r="H123" i="1"/>
  <c r="J125" i="1" s="1"/>
  <c r="J316" i="1"/>
  <c r="H504" i="1"/>
  <c r="J506" i="1" s="1"/>
  <c r="J528" i="1"/>
  <c r="H694" i="1"/>
  <c r="H695" i="1"/>
  <c r="O695" i="1" s="1"/>
  <c r="H228" i="1"/>
  <c r="J228" i="1" s="1"/>
  <c r="M930" i="1"/>
  <c r="H282" i="1"/>
  <c r="H299" i="1"/>
  <c r="N299" i="1" s="1"/>
  <c r="H365" i="1"/>
  <c r="H369" i="1" s="1"/>
  <c r="J371" i="1" s="1"/>
  <c r="O994" i="1"/>
  <c r="H539" i="1"/>
  <c r="O539" i="1" s="1"/>
  <c r="H572" i="1"/>
  <c r="J572" i="1" s="1"/>
  <c r="H527" i="1"/>
  <c r="O527" i="1" s="1"/>
  <c r="H632" i="1"/>
  <c r="N632" i="1" s="1"/>
  <c r="H162" i="1"/>
  <c r="O162" i="1" s="1"/>
  <c r="O550" i="1"/>
  <c r="H550" i="1"/>
  <c r="H472" i="1"/>
  <c r="O472" i="1" s="1"/>
  <c r="O396" i="1"/>
  <c r="H396" i="1"/>
  <c r="H662" i="1"/>
  <c r="O662" i="1" s="1"/>
  <c r="J151" i="1"/>
  <c r="H171" i="1"/>
  <c r="M454" i="1"/>
  <c r="N565" i="1"/>
  <c r="H705" i="1"/>
  <c r="N436" i="1"/>
  <c r="N191" i="1"/>
  <c r="N622" i="1"/>
  <c r="N232" i="1"/>
  <c r="N254" i="1"/>
  <c r="M275" i="1"/>
  <c r="N353" i="1"/>
  <c r="N378" i="1"/>
  <c r="N711" i="1"/>
  <c r="N589" i="1"/>
  <c r="H112" i="1"/>
  <c r="J114" i="1" s="1"/>
  <c r="N309" i="1"/>
  <c r="M498" i="1"/>
  <c r="N521" i="1"/>
  <c r="M641" i="1"/>
  <c r="N321" i="1"/>
  <c r="H965" i="1"/>
  <c r="H46" i="1" s="1"/>
  <c r="N332" i="1"/>
  <c r="H706" i="1"/>
  <c r="O706" i="1" s="1"/>
  <c r="H484" i="1"/>
  <c r="O484" i="1" s="1"/>
  <c r="H217" i="1"/>
  <c r="O217" i="1" s="1"/>
  <c r="J952" i="1"/>
  <c r="M974" i="1"/>
  <c r="P974" i="1" s="1"/>
  <c r="H349" i="1"/>
  <c r="O349" i="1" s="1"/>
  <c r="H384" i="1"/>
  <c r="O384" i="1" s="1"/>
  <c r="H605" i="1"/>
  <c r="O605" i="1" s="1"/>
  <c r="H184" i="1"/>
  <c r="O184" i="1" s="1"/>
  <c r="H561" i="1"/>
  <c r="O561" i="1" s="1"/>
  <c r="H288" i="1"/>
  <c r="H292" i="1" s="1"/>
  <c r="J294" i="1" s="1"/>
  <c r="H407" i="1"/>
  <c r="J407" i="1" s="1"/>
  <c r="H205" i="1"/>
  <c r="O205" i="1" s="1"/>
  <c r="N144" i="1"/>
  <c r="H559" i="1"/>
  <c r="H603" i="1"/>
  <c r="N678" i="1"/>
  <c r="H248" i="1"/>
  <c r="J250" i="1" s="1"/>
  <c r="H270" i="1"/>
  <c r="J272" i="1" s="1"/>
  <c r="J396" i="1"/>
  <c r="N477" i="1"/>
  <c r="H427" i="1"/>
  <c r="J429" i="1" s="1"/>
  <c r="H614" i="1"/>
  <c r="N344" i="1"/>
  <c r="N412" i="1"/>
  <c r="I893" i="1"/>
  <c r="I40" i="1" s="1"/>
  <c r="H717" i="1"/>
  <c r="O717" i="1" s="1"/>
  <c r="H483" i="1"/>
  <c r="O483" i="1" s="1"/>
  <c r="O216" i="1"/>
  <c r="H216" i="1"/>
  <c r="H544" i="1"/>
  <c r="H548" i="1" s="1"/>
  <c r="J550" i="1" s="1"/>
  <c r="H456" i="1"/>
  <c r="N456" i="1" s="1"/>
  <c r="H28" i="1"/>
  <c r="H359" i="1"/>
  <c r="O359" i="1" s="1"/>
  <c r="H173" i="1"/>
  <c r="O173" i="1" s="1"/>
  <c r="H440" i="1"/>
  <c r="J440" i="1" s="1"/>
  <c r="H616" i="1"/>
  <c r="O616" i="1" s="1"/>
  <c r="H583" i="1"/>
  <c r="O583" i="1" s="1"/>
  <c r="H114" i="1"/>
  <c r="O114" i="1" s="1"/>
  <c r="H418" i="1"/>
  <c r="J418" i="1" s="1"/>
  <c r="H195" i="1"/>
  <c r="O195" i="1" s="1"/>
  <c r="H160" i="1"/>
  <c r="H204" i="1"/>
  <c r="H537" i="1"/>
  <c r="N554" i="1"/>
  <c r="M597" i="1"/>
  <c r="H661" i="1"/>
  <c r="J663" i="1" s="1"/>
  <c r="N212" i="1"/>
  <c r="N243" i="1"/>
  <c r="N265" i="1"/>
  <c r="N364" i="1"/>
  <c r="H449" i="1"/>
  <c r="H471" i="1"/>
  <c r="J136" i="1"/>
  <c r="M421" i="1"/>
  <c r="N298" i="1"/>
  <c r="N631" i="1"/>
  <c r="H101" i="1"/>
  <c r="J103" i="1" s="1"/>
  <c r="J965" i="1"/>
  <c r="J46" i="1" s="1"/>
  <c r="H760" i="1"/>
  <c r="J761" i="1" s="1"/>
  <c r="H761" i="1"/>
  <c r="O995" i="1"/>
  <c r="P995" i="1" s="1"/>
  <c r="O961" i="1"/>
  <c r="O965" i="1" s="1"/>
  <c r="H751" i="1"/>
  <c r="H750" i="1"/>
  <c r="J751" i="1" s="1"/>
  <c r="I855" i="1"/>
  <c r="I34" i="1" s="1"/>
  <c r="J995" i="1"/>
  <c r="J52" i="1" s="1"/>
  <c r="I965" i="1"/>
  <c r="I46" i="1" s="1"/>
  <c r="O732" i="1"/>
  <c r="I930" i="1"/>
  <c r="I42" i="1" s="1"/>
  <c r="J924" i="1"/>
  <c r="J930" i="1" s="1"/>
  <c r="J42" i="1" s="1"/>
  <c r="H42" i="1"/>
  <c r="F999" i="1"/>
  <c r="H999" i="1" s="1"/>
  <c r="J779" i="1"/>
  <c r="J791" i="1" s="1"/>
  <c r="J20" i="1" s="1"/>
  <c r="I791" i="1"/>
  <c r="I20" i="1" s="1"/>
  <c r="J774" i="1"/>
  <c r="N774" i="1"/>
  <c r="N775" i="1" s="1"/>
  <c r="J82" i="1"/>
  <c r="J84" i="1" s="1"/>
  <c r="I935" i="1"/>
  <c r="I44" i="1" s="1"/>
  <c r="J934" i="1"/>
  <c r="J935" i="1" s="1"/>
  <c r="J44" i="1" s="1"/>
  <c r="N900" i="1"/>
  <c r="N930" i="1" s="1"/>
  <c r="P930" i="1" s="1"/>
  <c r="N952" i="1"/>
  <c r="N965" i="1" s="1"/>
  <c r="M965" i="1"/>
  <c r="I837" i="1"/>
  <c r="I28" i="1" s="1"/>
  <c r="J835" i="1"/>
  <c r="J837" i="1" s="1"/>
  <c r="J28" i="1" s="1"/>
  <c r="J884" i="1"/>
  <c r="J893" i="1" s="1"/>
  <c r="J40" i="1" s="1"/>
  <c r="N726" i="1"/>
  <c r="J803" i="1"/>
  <c r="J807" i="1" s="1"/>
  <c r="J24" i="1" s="1"/>
  <c r="F771" i="1" l="1"/>
  <c r="H771" i="1" s="1"/>
  <c r="J771" i="1" s="1"/>
  <c r="J768" i="1"/>
  <c r="O228" i="1"/>
  <c r="J594" i="1"/>
  <c r="J162" i="1"/>
  <c r="H636" i="1"/>
  <c r="J638" i="1" s="1"/>
  <c r="J184" i="1"/>
  <c r="J283" i="1"/>
  <c r="H460" i="1"/>
  <c r="J462" i="1" s="1"/>
  <c r="J206" i="1"/>
  <c r="O572" i="1"/>
  <c r="H735" i="1"/>
  <c r="J217" i="1"/>
  <c r="H303" i="1"/>
  <c r="J305" i="1" s="1"/>
  <c r="J195" i="1"/>
  <c r="J349" i="1"/>
  <c r="J583" i="1"/>
  <c r="O418" i="1"/>
  <c r="O440" i="1"/>
  <c r="O407" i="1"/>
  <c r="J484" i="1"/>
  <c r="N365" i="1"/>
  <c r="O282" i="1"/>
  <c r="O594" i="1"/>
  <c r="J473" i="1"/>
  <c r="N544" i="1"/>
  <c r="J616" i="1"/>
  <c r="J605" i="1"/>
  <c r="J707" i="1"/>
  <c r="J360" i="1"/>
  <c r="J451" i="1"/>
  <c r="J539" i="1"/>
  <c r="J561" i="1"/>
  <c r="N288" i="1"/>
  <c r="J685" i="1"/>
  <c r="J173" i="1"/>
  <c r="J696" i="1"/>
  <c r="N668" i="1"/>
  <c r="J733" i="1"/>
  <c r="J735" i="1" s="1"/>
  <c r="I999" i="1"/>
  <c r="I1002" i="1" s="1"/>
  <c r="I54" i="1" s="1"/>
  <c r="I64" i="1" s="1"/>
  <c r="H1002" i="1"/>
  <c r="H54" i="1" s="1"/>
  <c r="J10" i="1"/>
  <c r="P965" i="1"/>
  <c r="H720" i="1" l="1"/>
  <c r="J720" i="1" s="1"/>
  <c r="J737" i="1" s="1"/>
  <c r="J14" i="1" s="1"/>
  <c r="J999" i="1"/>
  <c r="J1002" i="1" s="1"/>
  <c r="J54" i="1" s="1"/>
  <c r="H737" i="1" l="1"/>
  <c r="F772" i="1" s="1"/>
  <c r="H772" i="1" s="1"/>
  <c r="J772" i="1" s="1"/>
  <c r="J775" i="1" s="1"/>
  <c r="H775" i="1"/>
  <c r="H18" i="1" s="1"/>
  <c r="O772" i="1" l="1"/>
  <c r="O775" i="1" s="1"/>
  <c r="P775" i="1" s="1"/>
  <c r="H14" i="1"/>
  <c r="J18" i="1"/>
  <c r="J16" i="1" l="1"/>
  <c r="F1019" i="1"/>
  <c r="H1019" i="1" s="1"/>
  <c r="N1019" i="1" s="1"/>
  <c r="H768" i="1"/>
  <c r="H16" i="1" s="1"/>
  <c r="H62" i="1" l="1"/>
  <c r="J1019" i="1"/>
  <c r="F1014" i="1" l="1"/>
  <c r="H1014" i="1" s="1"/>
  <c r="F1013" i="1"/>
  <c r="H1013" i="1" s="1"/>
  <c r="J1013" i="1" l="1"/>
  <c r="N1013" i="1"/>
  <c r="H1016" i="1"/>
  <c r="H60" i="1" s="1"/>
  <c r="H64" i="1" s="1"/>
  <c r="J1014" i="1"/>
  <c r="N1014" i="1"/>
  <c r="N1015" i="1" l="1"/>
  <c r="J64" i="1"/>
  <c r="H65" i="1"/>
  <c r="H66" i="1" s="1"/>
  <c r="J1016" i="1"/>
  <c r="J62" i="1"/>
</calcChain>
</file>

<file path=xl/sharedStrings.xml><?xml version="1.0" encoding="utf-8"?>
<sst xmlns="http://schemas.openxmlformats.org/spreadsheetml/2006/main" count="1740" uniqueCount="361">
  <si>
    <t>TOTAL RUBRO 21</t>
  </si>
  <si>
    <t>TOTAL RUBRO 20</t>
  </si>
  <si>
    <t>TOTAL RUBRO 18</t>
  </si>
  <si>
    <t>MOTORHOMES, TRAILERS Y CAMIONES DE CARGA</t>
  </si>
  <si>
    <t>PASAJES AL INTERIOR</t>
  </si>
  <si>
    <t>LIBRO / ARGUMENTO / GUION</t>
  </si>
  <si>
    <t>VEHICULOS DE PRODUCCION</t>
  </si>
  <si>
    <t>FINANCIERO POR ETAPAS (sin IVA)</t>
  </si>
  <si>
    <t>MUSICA</t>
  </si>
  <si>
    <t>SUTEP</t>
  </si>
  <si>
    <t>ALQUILER EQUIPAMIENTO ESPECIAL para LUCES (Grúas, etc.)</t>
  </si>
  <si>
    <t>OTROS - COREOGRAFO / DIRECTOR MUSICAL / COACH</t>
    <phoneticPr fontId="8"/>
  </si>
  <si>
    <t>TOTAL RUBRO 12</t>
  </si>
  <si>
    <t>Posproducción</t>
  </si>
  <si>
    <t>Sábados</t>
  </si>
  <si>
    <t>MATERIAL VIRGEN</t>
  </si>
  <si>
    <t>Domingos</t>
  </si>
  <si>
    <t>TOTAL RUBRO 17</t>
  </si>
  <si>
    <t>TOTAL RUBRO 15</t>
  </si>
  <si>
    <t>COMBUSTIBLE PARA RODADOS</t>
  </si>
  <si>
    <t>CARGAS SOCIALES</t>
  </si>
  <si>
    <t>Meses</t>
  </si>
  <si>
    <t>ALQUILERES</t>
  </si>
  <si>
    <t>REALIZACIONES Y EFECTOS</t>
  </si>
  <si>
    <t>Días</t>
  </si>
  <si>
    <t>RODAJE</t>
  </si>
  <si>
    <t>SEGURIDAD</t>
  </si>
  <si>
    <t xml:space="preserve">CADETERIA Y MENSAJERIA </t>
  </si>
  <si>
    <t>Aereos</t>
  </si>
  <si>
    <t>Cant.</t>
  </si>
  <si>
    <t>Micro</t>
  </si>
  <si>
    <t>EQUIPOS DE SONIDO</t>
  </si>
  <si>
    <t>SUB TOTAL</t>
  </si>
  <si>
    <t>FUERZA MOTRIZ</t>
  </si>
  <si>
    <t>MOVILIDAD</t>
  </si>
  <si>
    <t xml:space="preserve"> </t>
  </si>
  <si>
    <t>DIRECCION</t>
  </si>
  <si>
    <t>PRODUCCION</t>
  </si>
  <si>
    <t>Importe</t>
  </si>
  <si>
    <t>Cantidad</t>
  </si>
  <si>
    <t>Sem.</t>
  </si>
  <si>
    <t>PRODUCTOR EJECUTIVO</t>
    <phoneticPr fontId="8"/>
  </si>
  <si>
    <t>ESCENOGRAFIA</t>
  </si>
  <si>
    <t>EFECTOS ESPECIALES</t>
  </si>
  <si>
    <t>TOTAL RUBRO 6</t>
  </si>
  <si>
    <t>TOTAL RUBRO 24</t>
  </si>
  <si>
    <t>TOTAL RUBRO 25</t>
  </si>
  <si>
    <t>COPISTERIA</t>
  </si>
  <si>
    <t>TOTAL RUBRO 9</t>
  </si>
  <si>
    <t>COMPRA MATERIALES</t>
    <phoneticPr fontId="8"/>
  </si>
  <si>
    <t>GRIPS Para Autos (lateral y Frontal)</t>
  </si>
  <si>
    <t>FLETES DE EQUIPOS Y UTILERA</t>
  </si>
  <si>
    <t>TOTAL</t>
  </si>
  <si>
    <t>TOTAL RUBRO 5</t>
  </si>
  <si>
    <t>POS</t>
  </si>
  <si>
    <t>IVA</t>
    <phoneticPr fontId="8"/>
  </si>
  <si>
    <t>IVA</t>
    <phoneticPr fontId="8"/>
  </si>
  <si>
    <t>SADEM</t>
  </si>
  <si>
    <t>ALQUILER TALLER VESTUARIO</t>
  </si>
  <si>
    <t>TOTAL RUBRO 10</t>
  </si>
  <si>
    <t>Mes</t>
  </si>
  <si>
    <t>LAVANDERIA, TINTORERIA, ARREGLOS, etc.</t>
  </si>
  <si>
    <t>OTROS - Desarrollo</t>
    <phoneticPr fontId="8"/>
  </si>
  <si>
    <t>DESGLOSE POR RUBROS</t>
  </si>
  <si>
    <t>Tickets aéreos</t>
    <phoneticPr fontId="8"/>
  </si>
  <si>
    <t>TOTAL RUBRO 22</t>
  </si>
  <si>
    <t>OTROS COSTOS</t>
  </si>
  <si>
    <t>SEGUROS</t>
  </si>
  <si>
    <t>TOTAL RUBRO 11</t>
  </si>
  <si>
    <t>COMBUSTIBLE GENERADOR</t>
  </si>
  <si>
    <t>HONORARIOS LEGALES</t>
  </si>
  <si>
    <t>HONORARIOS PROFESIONAL CONTABLE</t>
  </si>
  <si>
    <t>TOTAL RUBRO 23</t>
  </si>
  <si>
    <t>Total</t>
  </si>
  <si>
    <t>Unidad</t>
  </si>
  <si>
    <t>LOCACIONES</t>
  </si>
  <si>
    <t>TOTAL RUBRO 7</t>
  </si>
  <si>
    <t>Rodaje</t>
  </si>
  <si>
    <t>RUBROS</t>
  </si>
  <si>
    <t>TOTAL RUBRO 4</t>
  </si>
  <si>
    <t>TOTAL RUBRO 1</t>
  </si>
  <si>
    <t>TOTAL RUBRO 2</t>
  </si>
  <si>
    <t>TOTAL RUBRO 3</t>
  </si>
  <si>
    <t>AAA</t>
  </si>
  <si>
    <t>Preproducción</t>
  </si>
  <si>
    <t>ADMINISTRACION</t>
  </si>
  <si>
    <t>AUTOS / COMBIS / CAMIONES / MOTORHOME</t>
  </si>
  <si>
    <t>VESTUARIO</t>
  </si>
  <si>
    <t>PRE</t>
  </si>
  <si>
    <t>ACCESORIOS</t>
  </si>
  <si>
    <t>MANTENIMIENTO Y LIMPIEZA</t>
  </si>
  <si>
    <t>STORY BOARD</t>
  </si>
  <si>
    <t>OTROS</t>
  </si>
  <si>
    <t xml:space="preserve"> Unidad</t>
  </si>
  <si>
    <t>MAQUILLAJE</t>
  </si>
  <si>
    <t>TOTALES</t>
  </si>
  <si>
    <t>TOTAL RUBRO 14</t>
  </si>
  <si>
    <t>TOTAL RUBRO 13</t>
  </si>
  <si>
    <t>Comidas x día</t>
  </si>
  <si>
    <t>MATERIAL DE ARCHIVO</t>
  </si>
  <si>
    <t>CONTRATACION EFECTOS ESPECIALES</t>
    <phoneticPr fontId="8"/>
  </si>
  <si>
    <t>TOTAL RUBRO 8</t>
  </si>
  <si>
    <t>CONTRATACIONES DE MATERIAL DE ARCHIVO</t>
  </si>
  <si>
    <t>Transporte vehículos de acción</t>
    <phoneticPr fontId="8"/>
  </si>
  <si>
    <t>Mes</t>
    <phoneticPr fontId="8"/>
  </si>
  <si>
    <t>OTROS MATERIALES</t>
    <phoneticPr fontId="8"/>
  </si>
  <si>
    <t>OTROS - MATERIALES</t>
    <phoneticPr fontId="8"/>
  </si>
  <si>
    <t>TOTAL RUBRO 19</t>
    <phoneticPr fontId="8"/>
  </si>
  <si>
    <t>TAXIS - REMISES - TRENES - SUBTERRANEOS - Etc.</t>
    <phoneticPr fontId="8"/>
  </si>
  <si>
    <t>PASAJES AL EXTERIOR</t>
    <phoneticPr fontId="8"/>
  </si>
  <si>
    <t>Gastos transporte aeropuertos</t>
    <phoneticPr fontId="8"/>
  </si>
  <si>
    <t>Transporte equipos especiales (gruas, construcciones luces, etc)</t>
    <phoneticPr fontId="8"/>
  </si>
  <si>
    <t>COMPRA MATERIALES (Realizaciones)</t>
  </si>
  <si>
    <t>CAMARA</t>
  </si>
  <si>
    <t>LUCES</t>
  </si>
  <si>
    <t>COMPRAS VARIAS - para CAMARA, LUCES, GRIP Y SONIDO</t>
  </si>
  <si>
    <t>COMPRAS INSUMOS VESTUARIO (Percheros, etiquetas, fundas,  vs.)</t>
  </si>
  <si>
    <t xml:space="preserve">Total </t>
  </si>
  <si>
    <t xml:space="preserve">Copias </t>
  </si>
  <si>
    <t xml:space="preserve">Días </t>
  </si>
  <si>
    <t xml:space="preserve">Extras </t>
  </si>
  <si>
    <t xml:space="preserve">Horas </t>
  </si>
  <si>
    <t xml:space="preserve">RESCRITURAS </t>
  </si>
  <si>
    <t xml:space="preserve">LIBRO ORIGINAL </t>
  </si>
  <si>
    <t>Hs. Extras Diurnas (3hs x Extra)</t>
  </si>
  <si>
    <t xml:space="preserve">Hs. Extras </t>
  </si>
  <si>
    <t xml:space="preserve">PERSONAL TECNICO, ARTISTICO, CHOFERES, SEGURIDAD,  etc. </t>
  </si>
  <si>
    <t>Días rodaje</t>
  </si>
  <si>
    <t>OTROS (postizos, tatuajes, etc)</t>
  </si>
  <si>
    <t xml:space="preserve">BASET - Espacios Verdes, jornadas de rodaje </t>
  </si>
  <si>
    <t>Total c/IVA</t>
  </si>
  <si>
    <t>Cot. Dólar</t>
  </si>
  <si>
    <r>
      <t>Prep</t>
    </r>
    <r>
      <rPr>
        <sz val="10"/>
        <rFont val="Arial"/>
        <family val="2"/>
      </rPr>
      <t>roducción</t>
    </r>
  </si>
  <si>
    <t>otros…..</t>
  </si>
  <si>
    <r>
      <t>MOTOR HOME VESTUARIO</t>
    </r>
    <r>
      <rPr>
        <sz val="10"/>
        <rFont val="Arial"/>
        <family val="2"/>
      </rPr>
      <t>/ Maquillaje</t>
    </r>
  </si>
  <si>
    <t>FLETES - Utilería, ambientación, Producción (Pre., Rodaje y Pos.)</t>
  </si>
  <si>
    <t>Pnal. (carga y descarga) 2 personas</t>
  </si>
  <si>
    <t>STEADYCAM con Operador y Asistente</t>
  </si>
  <si>
    <t>EQUIPO TECNICO</t>
  </si>
  <si>
    <t>CAMARA CAR y FLAT CAR - Con Operadores</t>
  </si>
  <si>
    <t>CONSUMOS, REPOSICIONES, ROTURAS</t>
  </si>
  <si>
    <t>EQUIPOS DE COMUNICACIÓN (Handies)</t>
  </si>
  <si>
    <t>SAC</t>
  </si>
  <si>
    <t>Remun. Bruta</t>
  </si>
  <si>
    <t xml:space="preserve">SERVICIO DE CATERING  (Desayuno y Almuerzo ) </t>
  </si>
  <si>
    <t>ADMINISTRACION. Secretaria</t>
  </si>
  <si>
    <t>DISCOS DUROS EXTERNOS</t>
  </si>
  <si>
    <t>dac2014</t>
  </si>
  <si>
    <t>Para Material Crudo y Back Up + Para entrega de Materiales</t>
  </si>
  <si>
    <t>Para Tránsito y edición offline</t>
  </si>
  <si>
    <t xml:space="preserve">Discos (1TB) </t>
  </si>
  <si>
    <t>DAC2015</t>
  </si>
  <si>
    <t xml:space="preserve">GRUA </t>
  </si>
  <si>
    <r>
      <t>CAMARA Y SONIDO</t>
    </r>
    <r>
      <rPr>
        <sz val="10"/>
        <rFont val="Arial"/>
        <family val="2"/>
      </rPr>
      <t xml:space="preserve"> (Furgon)</t>
    </r>
  </si>
  <si>
    <t>Generador Principal y Generador Pórtatil</t>
  </si>
  <si>
    <t>ALQUILER GENERADOR</t>
  </si>
  <si>
    <t>Mens</t>
  </si>
  <si>
    <t>Meses trabajados</t>
  </si>
  <si>
    <t>Hs Extras x Mes.</t>
  </si>
  <si>
    <t xml:space="preserve">GUION </t>
  </si>
  <si>
    <t xml:space="preserve"> Mens </t>
  </si>
  <si>
    <t xml:space="preserve"> Mes </t>
  </si>
  <si>
    <t>JEFE DE LOCACIONES  (CAT 2)</t>
  </si>
  <si>
    <t>ASISTENTE DE LOCACIONES (CAT 6)</t>
  </si>
  <si>
    <t>ASISTENTE DE DIRECCION (CAT 3)</t>
  </si>
  <si>
    <t xml:space="preserve"> CONTINUISTA (CAT 5)</t>
  </si>
  <si>
    <t>DIRECTOR DE CASTING (CAT 3)</t>
  </si>
  <si>
    <t>DATA MANAGER (CAT 7)</t>
  </si>
  <si>
    <t>GAFFER (CAT 5)</t>
  </si>
  <si>
    <t>REFLECTORISTA (2) (CAT 7)</t>
  </si>
  <si>
    <t>OPERADOR DE GENERADOR (7)</t>
  </si>
  <si>
    <t>COORDINADOR/A DE ARTE (CAT 5)</t>
  </si>
  <si>
    <t>ASISTENTE DE ARTE (CAT 7)</t>
  </si>
  <si>
    <t>AMBIENTADOR/A (CAT 6)</t>
  </si>
  <si>
    <t>UTILERO (CAT 7)</t>
  </si>
  <si>
    <t>VESTUARISTA (CAT 3)</t>
  </si>
  <si>
    <t>ASISTENTE DE VESTUARIO EN SET (CAT 7)</t>
  </si>
  <si>
    <t>PEINADOR (CAT 6)</t>
  </si>
  <si>
    <t>AYUDANTE DE MAQUILLAJE / PEINADO (CAT 7)</t>
  </si>
  <si>
    <t>DIRECTOR DE SONIDO (CAT 4)</t>
  </si>
  <si>
    <t>MICROFONISTA (2) (CAT 7)</t>
  </si>
  <si>
    <t>PRODUCTOR DE OFICINA (CAT 3)</t>
  </si>
  <si>
    <t>1 linea</t>
  </si>
  <si>
    <t>2 linea</t>
  </si>
  <si>
    <t>Minimo  AAA</t>
  </si>
  <si>
    <t>Invitado 1 línea</t>
  </si>
  <si>
    <t>Jornada</t>
  </si>
  <si>
    <t xml:space="preserve">Excedentes 180' </t>
  </si>
  <si>
    <t>Bolos (6,25 hs)</t>
  </si>
  <si>
    <t>ELENCO (Jornada de 10 hs)</t>
  </si>
  <si>
    <t xml:space="preserve">SAT </t>
  </si>
  <si>
    <r>
      <t>VAC</t>
    </r>
    <r>
      <rPr>
        <sz val="9"/>
        <rFont val="Arial"/>
        <family val="2"/>
      </rPr>
      <t xml:space="preserve"> (Total Bruto / 30) x (Cant. Meses x 30) / 20</t>
    </r>
  </si>
  <si>
    <t>ADICIONALES SAT</t>
  </si>
  <si>
    <t>Antigüedad</t>
  </si>
  <si>
    <t>Comidas</t>
  </si>
  <si>
    <t>Merienda</t>
  </si>
  <si>
    <t>Exteriores</t>
  </si>
  <si>
    <t>Torre</t>
  </si>
  <si>
    <t>Guardería</t>
  </si>
  <si>
    <t>Ropa</t>
  </si>
  <si>
    <t>UTILERIA/AMBIENTACIÓN</t>
  </si>
  <si>
    <t>Global</t>
  </si>
  <si>
    <t>Capitulo</t>
  </si>
  <si>
    <t xml:space="preserve">REALIZACIONES </t>
  </si>
  <si>
    <t>APUNTADOR (CONTRATO MENSUAL)</t>
  </si>
  <si>
    <t>Semana</t>
  </si>
  <si>
    <t>COMPRAS</t>
  </si>
  <si>
    <t>REALIZACIONES</t>
  </si>
  <si>
    <t>ALQUILERES (Jornadas 10 hs)</t>
  </si>
  <si>
    <t>Bases (valor x Jornada 5 x semana)</t>
  </si>
  <si>
    <t>Movilidad Locador</t>
  </si>
  <si>
    <t>Nafta</t>
  </si>
  <si>
    <t>Tramite</t>
  </si>
  <si>
    <t>Varios de Locaciones, estacionamientos y peajes</t>
  </si>
  <si>
    <t>PERMISOS DE RODAJE (12 hs)</t>
  </si>
  <si>
    <t>Remises Actores</t>
  </si>
  <si>
    <t>Van Departamento de Arte  (con Chofer)</t>
  </si>
  <si>
    <t>Auto Vestuario (con Chofer)</t>
  </si>
  <si>
    <t>PEAJES, GARAGES, ESTACIONAMIENTOS Y OTROS</t>
  </si>
  <si>
    <t>DERECHOS SADAIC</t>
  </si>
  <si>
    <t xml:space="preserve">Discos (3TB) </t>
  </si>
  <si>
    <t>ESTACION DE BAJADA</t>
  </si>
  <si>
    <t xml:space="preserve"> MacBook Pro 15" RETINA - Intel Core i7 2.6 GHz - 16 GB RAM - HD 1 TB SSD -GEFORCE G750M 2048 MB- 1x
Puerto HDMI -2x USB3 – 2x Thunderbolt – 1x Ranura SD Card
-1x CalDigit TS2 - Dock Station - 2 puertos eSata - 2 puertos Thunderbolt - 2 puertos USB3
-1x Soft para Data Managment Shotput Pro
-1x Soft para Trasco DaVinci Resolve Lite </t>
  </si>
  <si>
    <t>Días Grabación</t>
  </si>
  <si>
    <t>CAMAROGRAFO (2)  (CAT 3)</t>
  </si>
  <si>
    <t>(2) Hs extras por fuera del acuerdo  7+3  para 10 técnicos.</t>
  </si>
  <si>
    <t>SUB TOTAL ADICIONALES</t>
  </si>
  <si>
    <t>SUB TOTAL RUBRO 4</t>
  </si>
  <si>
    <t xml:space="preserve">PAPELERIA DE OFICINA </t>
  </si>
  <si>
    <t>SERVICIOS</t>
  </si>
  <si>
    <t>CAJA CHICA PRODUCCION</t>
  </si>
  <si>
    <t>VARIOS DE PRODUCCION</t>
  </si>
  <si>
    <t>CONTINGENCIAS</t>
  </si>
  <si>
    <t xml:space="preserve">OTROS </t>
  </si>
  <si>
    <t>SEGURO DE CAUCION</t>
  </si>
  <si>
    <t>ACCIDENTES PERSONALES (Equipo tecnico y artistico)</t>
  </si>
  <si>
    <t>IMPUESTOS</t>
  </si>
  <si>
    <t>IMPUESTOS BANCARIOS</t>
  </si>
  <si>
    <t>IIBB</t>
  </si>
  <si>
    <t>3% DEL COSTO TOTAL</t>
  </si>
  <si>
    <t>TOTAL RUBRO 26</t>
  </si>
  <si>
    <t>IVA (Está calculado en cada Rubro)</t>
  </si>
  <si>
    <t>DIRECTOR DE EXTERIORES</t>
  </si>
  <si>
    <t>AYUDANTE LOGGER (CAT 7)</t>
  </si>
  <si>
    <t>BOLOS MINIMOS (CANT. 10 X CAPITULO)</t>
  </si>
  <si>
    <t>REPOSICIONES</t>
  </si>
  <si>
    <t>Reposición Maquillaje</t>
  </si>
  <si>
    <t>Reposición Pelo</t>
  </si>
  <si>
    <t>Mensual</t>
  </si>
  <si>
    <t>AUTOS DE ACCION  ( 2 Autos por semana)</t>
  </si>
  <si>
    <t>REALIZACIONES DECORADOS.</t>
  </si>
  <si>
    <t>Calculo basado en un estudio de 1000  m2</t>
  </si>
  <si>
    <t>m2</t>
  </si>
  <si>
    <t>AMBIENTACION PISO</t>
  </si>
  <si>
    <t>Locaciones Eventos (valor x jornada)</t>
  </si>
  <si>
    <t>Bar (valor x 1/2 Jornada 2 x semana)</t>
  </si>
  <si>
    <t>Fachadas (valor x 1/2 jornada x 1 x semana)</t>
  </si>
  <si>
    <t>Plazas/Parques etc.</t>
  </si>
  <si>
    <t>INVITADO ( BOLO ESPECIAL. SEMANAL MAX. 4 JORNADAS)</t>
  </si>
  <si>
    <t>PRODUCCION DE OFICINA</t>
  </si>
  <si>
    <t>EQUIPO DE POST PRODUCCION</t>
  </si>
  <si>
    <t xml:space="preserve">EDITOR MUSICALIZADOR (CAT 3) </t>
  </si>
  <si>
    <t xml:space="preserve">EDITOR DE SONIDO (CAT 3) </t>
  </si>
  <si>
    <t>EQUIPO TÉCNICO DE PISO</t>
  </si>
  <si>
    <t>EQUIPO TECNICO DE EXTERIORES</t>
  </si>
  <si>
    <t>PRENSA</t>
  </si>
  <si>
    <t>Impresión de banners, evento de presentación, etc</t>
  </si>
  <si>
    <t xml:space="preserve"> 3 medidas, set de cuñas , Etc)</t>
  </si>
  <si>
    <t>ASISTENTE DE PRODUCCION  EN SET  (CAT 6)</t>
  </si>
  <si>
    <t>ASISTENTE DE PRODUCCION OFICINA (2) (CAT 6)</t>
  </si>
  <si>
    <t>ASISTENTE DE PRODUCCION  EN SET (CAT 6)</t>
  </si>
  <si>
    <t>ASISTENTE DE COORDINACIÓN DE VESTUARIO (2) (CAT 7)</t>
  </si>
  <si>
    <t xml:space="preserve">EDITOR (2) (CAT 3) </t>
  </si>
  <si>
    <t xml:space="preserve">COMPOSITOR (Música fondo, leit-motiv, etc.) </t>
  </si>
  <si>
    <t xml:space="preserve">COLORISTA  (CAT 3) </t>
  </si>
  <si>
    <t>PROCESO DE POST-PRODUCCIÓN DE AUDIO Y VIDEO</t>
  </si>
  <si>
    <t>PAQUETE GRAFICO</t>
  </si>
  <si>
    <t>DISEÑO DE APERTURA, TITULOS Y RODANTE</t>
  </si>
  <si>
    <t>ALQUILER DE ESTUDIO</t>
  </si>
  <si>
    <t>Valor por un estudio de 1000 m2 + oficinas de producción</t>
  </si>
  <si>
    <t xml:space="preserve">Control completo con consola , equipos de grabación, monitores, etc </t>
  </si>
  <si>
    <t>VAN traslados X 2 - 100 km. Libres</t>
  </si>
  <si>
    <r>
      <t>MATERIAL ELECTRICO y GRIP</t>
    </r>
    <r>
      <rPr>
        <sz val="10"/>
        <rFont val="Arial"/>
        <family val="2"/>
      </rPr>
      <t xml:space="preserve"> (Camión mediano)</t>
    </r>
  </si>
  <si>
    <t>PRODUCTOR GENERAL</t>
  </si>
  <si>
    <t xml:space="preserve"> BASE: Lunes a Viernes 7 hs diarias + 3 extras diarias = 10 hs totales (Algunos técnicos tendran mayor cantidad de hs Ex x citación diferenciada)</t>
  </si>
  <si>
    <t>CAMARA (Equipamiento completo de cámara y monitoreo)</t>
  </si>
  <si>
    <t xml:space="preserve"> + Accesorios (Hand grip, Follow focus Trípodes, filtros varios, Monitores 24"</t>
  </si>
  <si>
    <t xml:space="preserve">Tv logic  con instrumentos para monitoreo, etc.) </t>
  </si>
  <si>
    <t>Faroles: H.M.I. - Fresneles -  Artefactos de tubos flektor</t>
  </si>
  <si>
    <t>Accesorios (Trípodes, líneas, tableros, zapatillas,bolsas de arena, tres medidas ,</t>
  </si>
  <si>
    <t>pantallas banderas, marcos,portatelgos,barracudas, plaquetas, alargues, etc)</t>
  </si>
  <si>
    <t xml:space="preserve">Carro de travelling y Accesorios ( Vías rectas y curvas, bolsas, </t>
  </si>
  <si>
    <t xml:space="preserve">Grabador Multitrack Zaxcom Nomad 10/ </t>
  </si>
  <si>
    <t xml:space="preserve">1 sistema de monitoreo inhalambrico y auriculares, 4 Sist. Inalámbrico Lectrosonic, </t>
  </si>
  <si>
    <t>2 Micrófonos boom Sennheizer 416 Phantom  / 2 zeppelin Sennheiser</t>
  </si>
  <si>
    <t>2 Microfonos Sennheiser MKH 416P , Sistema IFB zaxcom.</t>
  </si>
  <si>
    <t xml:space="preserve"> Carro portaequipos, Manguera de mic y retorno, accesorios, etc. </t>
  </si>
  <si>
    <t>30 equipos  + Accesorios, cargadores, Baterías, caja de traslado. TOTAL</t>
  </si>
  <si>
    <t xml:space="preserve"> Varios: cámaras, luces, accesorios, grip, etc  </t>
  </si>
  <si>
    <t>TOTAL RUBRO 16</t>
  </si>
  <si>
    <t>Subtotal</t>
  </si>
  <si>
    <t>Total x 12 actores</t>
  </si>
  <si>
    <t>Total 10 bolos por capitulo</t>
  </si>
  <si>
    <t>Extra por Capitulo</t>
  </si>
  <si>
    <t>Valor Extra comun</t>
  </si>
  <si>
    <r>
      <t xml:space="preserve">BASET - Habilitación Vía Pública </t>
    </r>
    <r>
      <rPr>
        <b/>
        <sz val="10"/>
        <rFont val="Arial"/>
        <family val="2"/>
      </rPr>
      <t xml:space="preserve">(semestral) </t>
    </r>
  </si>
  <si>
    <r>
      <t xml:space="preserve">BASET - Cortes de Calle "Resto de la Ciudad" Diurno </t>
    </r>
    <r>
      <rPr>
        <b/>
        <sz val="10"/>
        <rFont val="Arial"/>
        <family val="2"/>
      </rPr>
      <t>(1 x semana)</t>
    </r>
  </si>
  <si>
    <r>
      <t xml:space="preserve">BASET - Reducción Carril para despeje "Resto de la Ciudad" Diurno </t>
    </r>
    <r>
      <rPr>
        <b/>
        <sz val="10"/>
        <rFont val="Arial"/>
        <family val="2"/>
      </rPr>
      <t>(1 x día)</t>
    </r>
  </si>
  <si>
    <r>
      <t xml:space="preserve">BASET - Estacionamiento vehiculos de filmación </t>
    </r>
    <r>
      <rPr>
        <b/>
        <sz val="10"/>
        <rFont val="Arial"/>
        <family val="2"/>
      </rPr>
      <t>(1 x dia)</t>
    </r>
  </si>
  <si>
    <r>
      <t xml:space="preserve">Baset Gestion de tramite </t>
    </r>
    <r>
      <rPr>
        <b/>
        <sz val="10"/>
        <rFont val="Arial"/>
        <family val="2"/>
      </rPr>
      <t>(por tramite)</t>
    </r>
  </si>
  <si>
    <t xml:space="preserve">BASET - Estacionamiento vehiculos Recorrido con Base </t>
  </si>
  <si>
    <t xml:space="preserve">BASET- Vereda </t>
  </si>
  <si>
    <t>DETALLE POST DE VIDEO/ SONIDO</t>
  </si>
  <si>
    <t xml:space="preserve">Alquiler de isla Workstation de edición, Isla de corte y isla de  ingesta, y protools </t>
  </si>
  <si>
    <t>EQUIPAMIENTO DE PISO</t>
  </si>
  <si>
    <t>Faroles: H.M.I. - Fresneles -  Minibrut-Maxibrut lamparas abiertas</t>
  </si>
  <si>
    <t>Accesorios (Trípodes, líneas,  zapatillas,bolsas de arena, tres medidas ,</t>
  </si>
  <si>
    <t>pantallas banderas, portatelgos,barras para parrilla, plaquetas, líneas,alargues, etc)</t>
  </si>
  <si>
    <t xml:space="preserve">Carro de travelling  Accesorios ( Vías rectas y curvas, bolsas, </t>
  </si>
  <si>
    <t xml:space="preserve">GRIP </t>
  </si>
  <si>
    <t xml:space="preserve">COMIDAS </t>
  </si>
  <si>
    <t>TOTAL RUBRO 27</t>
  </si>
  <si>
    <t>Equipamiento, escenografía, utilería, etc. Responsabilidad Civil</t>
  </si>
  <si>
    <t>Cant.Capitulos</t>
  </si>
  <si>
    <t>Retoque de color. Etc.</t>
  </si>
  <si>
    <t>ALQUILER DE OFICINAS (INCLUIDO CON ALQUILER DEL ESTUDIO)</t>
  </si>
  <si>
    <t>TELEFONIA MOVIL (PARA 20 PERSONAS ALQUILER Y CONSUMO)</t>
  </si>
  <si>
    <t>EQUIPOS DE CAMARAS/ LUCES/SONIDO EXTERIORES</t>
  </si>
  <si>
    <t>DIRECTOR DE PISO</t>
  </si>
  <si>
    <r>
      <t xml:space="preserve">BASET -  Bocacalle "Resto de la Ciudad" Diurno </t>
    </r>
    <r>
      <rPr>
        <b/>
        <sz val="10"/>
        <rFont val="Arial"/>
        <family val="2"/>
      </rPr>
      <t>(5 en los 60 capitulos)</t>
    </r>
  </si>
  <si>
    <t>SEGURIDAD PARA FILMACION (1 personas x ,,,,, x día)</t>
  </si>
  <si>
    <t>DAC -TIRA Presupuesto Medio -  2019</t>
  </si>
  <si>
    <t>COORDINADOR DE PRODUCCION (CAT 2)</t>
  </si>
  <si>
    <t>JEFE DE PRODUCCION (CAT 2)</t>
  </si>
  <si>
    <t>DIRECTOR DE FOTOGRAFIA (CAT 2)</t>
  </si>
  <si>
    <t>JEFE TECNICO (CAT 2)</t>
  </si>
  <si>
    <t>GRIP (CAT 8)</t>
  </si>
  <si>
    <t>AMBIENTADOR/A (CAT 5)</t>
  </si>
  <si>
    <t>ASISTENTES DE CAMARA (2) (CAT 7)</t>
  </si>
  <si>
    <t>GRIP (CAT 7)</t>
  </si>
  <si>
    <t>CAMAROGRAFO (3)  (CAT 4)</t>
  </si>
  <si>
    <t>ASISTENTE DE CAMARA (2) (CAT 8)</t>
  </si>
  <si>
    <t>DIRECTOR DE ARTE (CAT 1)</t>
  </si>
  <si>
    <t>COORDINADOR DE VESTUARIO (CAT 5)</t>
  </si>
  <si>
    <t>JEFE MAQUILLAJE (CAT 3)</t>
  </si>
  <si>
    <t>COORDINADOR DE POST-PRODUCCIÓN  (CAT 3)</t>
  </si>
  <si>
    <t>escalas hasta diciembre 2018</t>
  </si>
  <si>
    <t>escalas salariales hasta Junio 2019</t>
  </si>
  <si>
    <t>ELENCO PRINCIPAL  (CONTRATOMENSUAL  AAA X 4 MESES)</t>
  </si>
  <si>
    <t>AYUDANTES (2 x día $ 1500) dos veces por semana</t>
  </si>
  <si>
    <t>EXTRAS (SUTEP) (CANT. 20 EXTRAS COMUNES POR CAPITULO)</t>
  </si>
  <si>
    <t>20 Extras por capitulo</t>
  </si>
  <si>
    <t>3 Camaras Sony F55, con accesorios, opticas y filtros correspondientes.</t>
  </si>
  <si>
    <t>2 Cámaras (Sony F55) + Opticas (Compact Prime SET / 18-35-50-85-135 MM)</t>
  </si>
  <si>
    <t>MULTICOPIADORA</t>
  </si>
  <si>
    <t>SEGUROS EQUIPOS</t>
  </si>
  <si>
    <t>IVA</t>
  </si>
  <si>
    <t>TOTAL GENERAL</t>
  </si>
  <si>
    <t>Cant. Capítulos</t>
  </si>
  <si>
    <t>VAC no gozadas</t>
  </si>
  <si>
    <t>VAC no goazadas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</si>
</sst>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6" formatCode="&quot;$&quot;\ #,##0;[Red]&quot;$&quot;\ \-#,##0"/>
    <numFmt numFmtId="43" formatCode="_ * #,##0.00_ ;_ * \-#,##0.00_ ;_ * &quot;-&quot;??_ ;_ @_ "/>
    <numFmt numFmtId="164" formatCode="00"/>
    <numFmt numFmtId="165" formatCode="#,##0.0"/>
    <numFmt numFmtId="166" formatCode="[$$-409]#,##0.00"/>
    <numFmt numFmtId="167" formatCode="&quot;$&quot;#,##0.00"/>
    <numFmt numFmtId="168" formatCode="#,##0_ ;\-#,##0\ "/>
  </numFmts>
  <fonts count="24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8"/>
      <name val="Verdana"/>
      <family val="2"/>
    </font>
    <font>
      <sz val="9.5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b/>
      <i/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i/>
      <sz val="9"/>
      <color theme="0" tint="-0.499984740745262"/>
      <name val="Arial"/>
      <family val="2"/>
    </font>
    <font>
      <b/>
      <sz val="6"/>
      <color theme="0" tint="-4.9989318521683403E-2"/>
      <name val="Arial"/>
      <family val="2"/>
    </font>
    <font>
      <sz val="10"/>
      <name val="Arial"/>
      <family val="2"/>
    </font>
    <font>
      <b/>
      <sz val="11"/>
      <color theme="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290B6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6" tint="-0.249977111117893"/>
        <bgColor indexed="64"/>
      </patternFill>
    </fill>
  </fills>
  <borders count="5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indexed="55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55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indexed="55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rgb="FF0000FF"/>
      </left>
      <right/>
      <top style="double">
        <color rgb="FF0000FF"/>
      </top>
      <bottom/>
      <diagonal/>
    </border>
    <border>
      <left/>
      <right/>
      <top style="double">
        <color rgb="FF0000FF"/>
      </top>
      <bottom/>
      <diagonal/>
    </border>
    <border>
      <left/>
      <right style="double">
        <color rgb="FF0000FF"/>
      </right>
      <top style="double">
        <color rgb="FF0000FF"/>
      </top>
      <bottom/>
      <diagonal/>
    </border>
    <border>
      <left style="double">
        <color rgb="FF0000FF"/>
      </left>
      <right/>
      <top/>
      <bottom/>
      <diagonal/>
    </border>
    <border>
      <left/>
      <right style="double">
        <color rgb="FF0000FF"/>
      </right>
      <top/>
      <bottom/>
      <diagonal/>
    </border>
    <border>
      <left style="double">
        <color rgb="FF0000FF"/>
      </left>
      <right/>
      <top/>
      <bottom style="double">
        <color rgb="FF0000FF"/>
      </bottom>
      <diagonal/>
    </border>
    <border>
      <left/>
      <right/>
      <top/>
      <bottom style="double">
        <color rgb="FF0000FF"/>
      </bottom>
      <diagonal/>
    </border>
    <border>
      <left/>
      <right style="double">
        <color rgb="FF0000FF"/>
      </right>
      <top/>
      <bottom style="double">
        <color rgb="FF0000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6">
    <xf numFmtId="0" fontId="0" fillId="0" borderId="0" xfId="0"/>
    <xf numFmtId="0" fontId="4" fillId="2" borderId="1" xfId="0" applyFont="1" applyFill="1" applyBorder="1" applyAlignment="1" applyProtection="1">
      <alignment horizontal="right" vertical="center"/>
      <protection locked="0"/>
    </xf>
    <xf numFmtId="0" fontId="4" fillId="0" borderId="2" xfId="0" applyFont="1" applyFill="1" applyBorder="1" applyAlignment="1" applyProtection="1">
      <alignment vertical="center"/>
      <protection locked="0"/>
    </xf>
    <xf numFmtId="4" fontId="4" fillId="0" borderId="2" xfId="1" applyNumberFormat="1" applyFont="1" applyFill="1" applyBorder="1" applyAlignment="1" applyProtection="1">
      <alignment horizontal="right" vertical="center"/>
      <protection locked="0"/>
    </xf>
    <xf numFmtId="43" fontId="4" fillId="2" borderId="0" xfId="1" applyFont="1" applyFill="1" applyBorder="1" applyAlignment="1" applyProtection="1">
      <alignment horizontal="right" vertical="center"/>
      <protection hidden="1"/>
    </xf>
    <xf numFmtId="0" fontId="4" fillId="2" borderId="0" xfId="0" applyFont="1" applyFill="1" applyBorder="1" applyAlignment="1" applyProtection="1">
      <alignment vertical="center"/>
      <protection hidden="1"/>
    </xf>
    <xf numFmtId="0" fontId="4" fillId="2" borderId="0" xfId="0" applyFont="1" applyFill="1" applyBorder="1" applyAlignment="1" applyProtection="1">
      <alignment horizontal="left" vertical="center"/>
      <protection locked="0"/>
    </xf>
    <xf numFmtId="43" fontId="4" fillId="2" borderId="0" xfId="1" applyFont="1" applyFill="1" applyBorder="1" applyAlignment="1" applyProtection="1">
      <alignment horizontal="right" vertical="center"/>
      <protection locked="0"/>
    </xf>
    <xf numFmtId="0" fontId="4" fillId="2" borderId="0" xfId="0" applyFont="1" applyFill="1" applyBorder="1" applyAlignment="1" applyProtection="1">
      <alignment vertical="center"/>
      <protection locked="0"/>
    </xf>
    <xf numFmtId="4" fontId="3" fillId="2" borderId="0" xfId="0" applyNumberFormat="1" applyFont="1" applyFill="1" applyBorder="1" applyAlignment="1" applyProtection="1">
      <alignment vertical="center"/>
      <protection locked="0"/>
    </xf>
    <xf numFmtId="1" fontId="4" fillId="2" borderId="2" xfId="1" applyNumberFormat="1" applyFont="1" applyFill="1" applyBorder="1" applyAlignment="1" applyProtection="1">
      <alignment horizontal="right" vertical="center"/>
      <protection locked="0"/>
    </xf>
    <xf numFmtId="0" fontId="4" fillId="2" borderId="2" xfId="0" applyFont="1" applyFill="1" applyBorder="1" applyAlignment="1" applyProtection="1">
      <alignment vertical="center"/>
      <protection locked="0"/>
    </xf>
    <xf numFmtId="0" fontId="11" fillId="2" borderId="2" xfId="0" applyFont="1" applyFill="1" applyBorder="1" applyAlignment="1" applyProtection="1">
      <alignment vertical="center"/>
      <protection locked="0"/>
    </xf>
    <xf numFmtId="3" fontId="10" fillId="2" borderId="0" xfId="0" applyNumberFormat="1" applyFont="1" applyFill="1" applyBorder="1" applyAlignment="1" applyProtection="1">
      <alignment horizontal="center" vertical="center"/>
      <protection locked="0"/>
    </xf>
    <xf numFmtId="0" fontId="11" fillId="2" borderId="1" xfId="0" applyFont="1" applyFill="1" applyBorder="1" applyAlignment="1" applyProtection="1">
      <alignment horizontal="right" vertical="center"/>
      <protection locked="0"/>
    </xf>
    <xf numFmtId="0" fontId="4" fillId="2" borderId="3" xfId="0" applyFont="1" applyFill="1" applyBorder="1" applyAlignment="1" applyProtection="1">
      <alignment horizontal="right" vertical="center"/>
      <protection locked="0"/>
    </xf>
    <xf numFmtId="10" fontId="4" fillId="2" borderId="2" xfId="1" applyNumberFormat="1" applyFont="1" applyFill="1" applyBorder="1" applyAlignment="1" applyProtection="1">
      <alignment horizontal="right" vertical="center"/>
      <protection locked="0"/>
    </xf>
    <xf numFmtId="0" fontId="4" fillId="2" borderId="4" xfId="0" applyFont="1" applyFill="1" applyBorder="1" applyAlignment="1" applyProtection="1">
      <alignment vertical="center"/>
      <protection locked="0"/>
    </xf>
    <xf numFmtId="43" fontId="4" fillId="2" borderId="2" xfId="1" applyFont="1" applyFill="1" applyBorder="1" applyAlignment="1" applyProtection="1">
      <alignment horizontal="right" vertical="center"/>
      <protection locked="0"/>
    </xf>
    <xf numFmtId="43" fontId="4" fillId="2" borderId="2" xfId="1" applyFont="1" applyFill="1" applyBorder="1" applyAlignment="1" applyProtection="1">
      <alignment horizontal="right" vertical="center"/>
      <protection hidden="1"/>
    </xf>
    <xf numFmtId="43" fontId="11" fillId="2" borderId="3" xfId="1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vertical="center"/>
      <protection locked="0"/>
    </xf>
    <xf numFmtId="43" fontId="4" fillId="0" borderId="0" xfId="1" applyFont="1" applyFill="1" applyBorder="1" applyAlignment="1" applyProtection="1">
      <alignment horizontal="right" vertical="center"/>
      <protection locked="0"/>
    </xf>
    <xf numFmtId="3" fontId="3" fillId="0" borderId="2" xfId="0" applyNumberFormat="1" applyFont="1" applyFill="1" applyBorder="1" applyAlignment="1" applyProtection="1">
      <alignment vertical="center"/>
      <protection locked="0"/>
    </xf>
    <xf numFmtId="3" fontId="4" fillId="0" borderId="2" xfId="1" applyNumberFormat="1" applyFont="1" applyFill="1" applyBorder="1" applyAlignment="1" applyProtection="1">
      <alignment horizontal="right" vertical="center"/>
      <protection locked="0"/>
    </xf>
    <xf numFmtId="3" fontId="3" fillId="2" borderId="2" xfId="0" applyNumberFormat="1" applyFont="1" applyFill="1" applyBorder="1" applyAlignment="1" applyProtection="1">
      <alignment vertical="center"/>
      <protection locked="0"/>
    </xf>
    <xf numFmtId="3" fontId="4" fillId="2" borderId="2" xfId="0" quotePrefix="1" applyNumberFormat="1" applyFont="1" applyFill="1" applyBorder="1" applyAlignment="1" applyProtection="1">
      <alignment horizontal="right" vertical="center"/>
      <protection locked="0"/>
    </xf>
    <xf numFmtId="3" fontId="4" fillId="2" borderId="2" xfId="0" applyNumberFormat="1" applyFont="1" applyFill="1" applyBorder="1" applyAlignment="1" applyProtection="1">
      <alignment horizontal="right" vertical="center"/>
      <protection locked="0"/>
    </xf>
    <xf numFmtId="3" fontId="4" fillId="2" borderId="2" xfId="0" applyNumberFormat="1" applyFont="1" applyFill="1" applyBorder="1" applyAlignment="1" applyProtection="1">
      <alignment vertical="center"/>
      <protection locked="0"/>
    </xf>
    <xf numFmtId="3" fontId="4" fillId="2" borderId="5" xfId="0" applyNumberFormat="1" applyFont="1" applyFill="1" applyBorder="1" applyAlignment="1" applyProtection="1">
      <alignment vertical="center"/>
      <protection locked="0"/>
    </xf>
    <xf numFmtId="3" fontId="4" fillId="0" borderId="2" xfId="0" applyNumberFormat="1" applyFont="1" applyFill="1" applyBorder="1" applyAlignment="1" applyProtection="1">
      <alignment vertical="center"/>
      <protection locked="0"/>
    </xf>
    <xf numFmtId="3" fontId="3" fillId="2" borderId="1" xfId="0" applyNumberFormat="1" applyFont="1" applyFill="1" applyBorder="1" applyAlignment="1" applyProtection="1">
      <alignment vertical="center"/>
      <protection locked="0"/>
    </xf>
    <xf numFmtId="3" fontId="4" fillId="2" borderId="1" xfId="0" applyNumberFormat="1" applyFont="1" applyFill="1" applyBorder="1" applyAlignment="1" applyProtection="1">
      <alignment vertical="center"/>
      <protection locked="0"/>
    </xf>
    <xf numFmtId="3" fontId="4" fillId="2" borderId="3" xfId="0" applyNumberFormat="1" applyFont="1" applyFill="1" applyBorder="1" applyAlignment="1" applyProtection="1">
      <alignment vertical="center"/>
      <protection locked="0"/>
    </xf>
    <xf numFmtId="3" fontId="4" fillId="2" borderId="0" xfId="0" applyNumberFormat="1" applyFont="1" applyFill="1" applyBorder="1" applyAlignment="1" applyProtection="1">
      <alignment vertical="center"/>
      <protection locked="0"/>
    </xf>
    <xf numFmtId="3" fontId="11" fillId="2" borderId="2" xfId="0" applyNumberFormat="1" applyFont="1" applyFill="1" applyBorder="1" applyAlignment="1" applyProtection="1">
      <alignment vertical="center"/>
      <protection locked="0"/>
    </xf>
    <xf numFmtId="3" fontId="11" fillId="0" borderId="2" xfId="0" applyNumberFormat="1" applyFont="1" applyFill="1" applyBorder="1" applyAlignment="1" applyProtection="1">
      <alignment vertical="center"/>
      <protection locked="0"/>
    </xf>
    <xf numFmtId="3" fontId="4" fillId="2" borderId="6" xfId="0" applyNumberFormat="1" applyFont="1" applyFill="1" applyBorder="1" applyAlignment="1" applyProtection="1">
      <alignment vertical="center"/>
      <protection locked="0"/>
    </xf>
    <xf numFmtId="3" fontId="4" fillId="2" borderId="2" xfId="1" applyNumberFormat="1" applyFont="1" applyFill="1" applyBorder="1" applyAlignment="1" applyProtection="1">
      <alignment horizontal="right" vertical="center"/>
      <protection locked="0"/>
    </xf>
    <xf numFmtId="3" fontId="11" fillId="2" borderId="2" xfId="1" applyNumberFormat="1" applyFont="1" applyFill="1" applyBorder="1" applyAlignment="1" applyProtection="1">
      <alignment horizontal="right" vertical="center"/>
      <protection locked="0"/>
    </xf>
    <xf numFmtId="0" fontId="11" fillId="2" borderId="3" xfId="0" applyFont="1" applyFill="1" applyBorder="1" applyAlignment="1" applyProtection="1">
      <alignment horizontal="right" vertical="center"/>
      <protection locked="0"/>
    </xf>
    <xf numFmtId="0" fontId="7" fillId="0" borderId="0" xfId="0" applyFont="1" applyAlignment="1">
      <alignment vertical="center"/>
    </xf>
    <xf numFmtId="0" fontId="4" fillId="2" borderId="0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3" fontId="4" fillId="0" borderId="0" xfId="0" applyNumberFormat="1" applyFont="1" applyBorder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3" fontId="4" fillId="2" borderId="7" xfId="0" applyNumberFormat="1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3" fillId="2" borderId="0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3" fillId="2" borderId="8" xfId="0" applyFont="1" applyFill="1" applyBorder="1" applyAlignment="1">
      <alignment vertical="center"/>
    </xf>
    <xf numFmtId="3" fontId="4" fillId="2" borderId="0" xfId="0" applyNumberFormat="1" applyFont="1" applyFill="1" applyBorder="1" applyAlignment="1">
      <alignment vertical="center"/>
    </xf>
    <xf numFmtId="3" fontId="3" fillId="2" borderId="0" xfId="0" applyNumberFormat="1" applyFont="1" applyFill="1" applyBorder="1" applyAlignment="1">
      <alignment vertical="center"/>
    </xf>
    <xf numFmtId="0" fontId="4" fillId="2" borderId="3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3" fontId="1" fillId="2" borderId="2" xfId="0" applyNumberFormat="1" applyFont="1" applyFill="1" applyBorder="1" applyAlignment="1" applyProtection="1">
      <alignment vertical="center"/>
      <protection locked="0"/>
    </xf>
    <xf numFmtId="165" fontId="11" fillId="2" borderId="2" xfId="0" applyNumberFormat="1" applyFont="1" applyFill="1" applyBorder="1" applyAlignment="1" applyProtection="1">
      <alignment vertical="center"/>
      <protection locked="0"/>
    </xf>
    <xf numFmtId="4" fontId="4" fillId="2" borderId="2" xfId="0" applyNumberFormat="1" applyFont="1" applyFill="1" applyBorder="1" applyAlignment="1" applyProtection="1">
      <alignment vertical="center"/>
      <protection locked="0"/>
    </xf>
    <xf numFmtId="0" fontId="3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3" fontId="10" fillId="3" borderId="0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43" fontId="4" fillId="2" borderId="9" xfId="1" applyFont="1" applyFill="1" applyBorder="1" applyAlignment="1" applyProtection="1">
      <alignment horizontal="right" vertical="center"/>
      <protection hidden="1"/>
    </xf>
    <xf numFmtId="0" fontId="4" fillId="2" borderId="9" xfId="0" applyFont="1" applyFill="1" applyBorder="1" applyAlignment="1" applyProtection="1">
      <alignment vertical="center"/>
      <protection hidden="1"/>
    </xf>
    <xf numFmtId="0" fontId="18" fillId="2" borderId="0" xfId="0" applyFont="1" applyFill="1" applyBorder="1" applyAlignment="1">
      <alignment horizontal="center" vertical="center"/>
    </xf>
    <xf numFmtId="3" fontId="19" fillId="2" borderId="6" xfId="0" applyNumberFormat="1" applyFont="1" applyFill="1" applyBorder="1" applyAlignment="1" applyProtection="1">
      <alignment vertical="center"/>
      <protection locked="0"/>
    </xf>
    <xf numFmtId="0" fontId="19" fillId="2" borderId="0" xfId="0" applyFont="1" applyFill="1" applyAlignment="1">
      <alignment vertical="center"/>
    </xf>
    <xf numFmtId="0" fontId="0" fillId="2" borderId="1" xfId="0" applyFont="1" applyFill="1" applyBorder="1" applyAlignment="1" applyProtection="1">
      <alignment horizontal="right" vertical="center"/>
      <protection locked="0"/>
    </xf>
    <xf numFmtId="3" fontId="4" fillId="2" borderId="10" xfId="0" applyNumberFormat="1" applyFont="1" applyFill="1" applyBorder="1" applyAlignment="1" applyProtection="1">
      <alignment vertical="center"/>
      <protection locked="0"/>
    </xf>
    <xf numFmtId="43" fontId="0" fillId="2" borderId="2" xfId="1" applyFont="1" applyFill="1" applyBorder="1" applyAlignment="1" applyProtection="1">
      <alignment horizontal="right" vertical="center"/>
      <protection locked="0"/>
    </xf>
    <xf numFmtId="3" fontId="4" fillId="2" borderId="11" xfId="0" applyNumberFormat="1" applyFont="1" applyFill="1" applyBorder="1" applyAlignment="1" applyProtection="1">
      <alignment vertical="center"/>
      <protection locked="0"/>
    </xf>
    <xf numFmtId="3" fontId="0" fillId="2" borderId="8" xfId="0" applyNumberFormat="1" applyFont="1" applyFill="1" applyBorder="1" applyAlignment="1">
      <alignment vertical="center"/>
    </xf>
    <xf numFmtId="3" fontId="0" fillId="2" borderId="5" xfId="0" applyNumberFormat="1" applyFont="1" applyFill="1" applyBorder="1" applyAlignment="1">
      <alignment vertical="center"/>
    </xf>
    <xf numFmtId="0" fontId="0" fillId="2" borderId="3" xfId="0" applyFont="1" applyFill="1" applyBorder="1" applyAlignment="1">
      <alignment horizontal="right" vertical="center"/>
    </xf>
    <xf numFmtId="3" fontId="4" fillId="2" borderId="12" xfId="0" applyNumberFormat="1" applyFont="1" applyFill="1" applyBorder="1" applyAlignment="1" applyProtection="1">
      <alignment vertical="center"/>
      <protection locked="0"/>
    </xf>
    <xf numFmtId="3" fontId="0" fillId="2" borderId="2" xfId="0" applyNumberFormat="1" applyFont="1" applyFill="1" applyBorder="1" applyAlignment="1" applyProtection="1">
      <alignment vertical="center"/>
      <protection locked="0"/>
    </xf>
    <xf numFmtId="4" fontId="0" fillId="2" borderId="0" xfId="0" applyNumberFormat="1" applyFont="1" applyFill="1" applyBorder="1" applyAlignment="1" applyProtection="1">
      <alignment horizontal="right" vertical="center"/>
      <protection locked="0"/>
    </xf>
    <xf numFmtId="3" fontId="0" fillId="2" borderId="0" xfId="0" applyNumberFormat="1" applyFont="1" applyFill="1" applyBorder="1" applyAlignment="1" applyProtection="1">
      <alignment vertical="center"/>
      <protection locked="0"/>
    </xf>
    <xf numFmtId="0" fontId="0" fillId="2" borderId="0" xfId="0" applyFont="1" applyFill="1" applyBorder="1" applyAlignment="1">
      <alignment vertical="center"/>
    </xf>
    <xf numFmtId="3" fontId="0" fillId="2" borderId="1" xfId="0" applyNumberFormat="1" applyFont="1" applyFill="1" applyBorder="1" applyAlignment="1" applyProtection="1">
      <alignment vertical="center"/>
      <protection locked="0"/>
    </xf>
    <xf numFmtId="3" fontId="3" fillId="2" borderId="1" xfId="0" applyNumberFormat="1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1" fontId="0" fillId="2" borderId="2" xfId="1" applyNumberFormat="1" applyFont="1" applyFill="1" applyBorder="1" applyAlignment="1" applyProtection="1">
      <alignment horizontal="right" vertical="center"/>
      <protection locked="0"/>
    </xf>
    <xf numFmtId="3" fontId="0" fillId="2" borderId="6" xfId="0" applyNumberFormat="1" applyFont="1" applyFill="1" applyBorder="1" applyAlignment="1" applyProtection="1">
      <alignment vertical="center"/>
      <protection locked="0"/>
    </xf>
    <xf numFmtId="3" fontId="0" fillId="2" borderId="6" xfId="0" applyNumberFormat="1" applyFont="1" applyFill="1" applyBorder="1" applyAlignment="1">
      <alignment vertical="center"/>
    </xf>
    <xf numFmtId="3" fontId="0" fillId="2" borderId="2" xfId="0" applyNumberFormat="1" applyFont="1" applyFill="1" applyBorder="1" applyAlignment="1">
      <alignment vertical="center"/>
    </xf>
    <xf numFmtId="0" fontId="0" fillId="2" borderId="13" xfId="0" applyFont="1" applyFill="1" applyBorder="1" applyAlignment="1" applyProtection="1">
      <alignment horizontal="right" vertical="center"/>
      <protection locked="0"/>
    </xf>
    <xf numFmtId="43" fontId="0" fillId="2" borderId="0" xfId="1" applyFont="1" applyFill="1" applyBorder="1" applyAlignment="1" applyProtection="1">
      <alignment horizontal="right" vertical="center"/>
      <protection locked="0"/>
    </xf>
    <xf numFmtId="0" fontId="0" fillId="2" borderId="3" xfId="0" applyFont="1" applyFill="1" applyBorder="1" applyAlignment="1" applyProtection="1">
      <alignment horizontal="right" vertical="center"/>
      <protection locked="0"/>
    </xf>
    <xf numFmtId="0" fontId="19" fillId="2" borderId="12" xfId="0" applyFont="1" applyFill="1" applyBorder="1" applyAlignment="1">
      <alignment vertical="center"/>
    </xf>
    <xf numFmtId="3" fontId="19" fillId="2" borderId="12" xfId="0" applyNumberFormat="1" applyFont="1" applyFill="1" applyBorder="1" applyAlignment="1">
      <alignment vertical="center"/>
    </xf>
    <xf numFmtId="3" fontId="19" fillId="2" borderId="4" xfId="0" applyNumberFormat="1" applyFont="1" applyFill="1" applyBorder="1" applyAlignment="1" applyProtection="1">
      <alignment vertical="center"/>
      <protection locked="0"/>
    </xf>
    <xf numFmtId="3" fontId="19" fillId="2" borderId="11" xfId="0" applyNumberFormat="1" applyFont="1" applyFill="1" applyBorder="1" applyAlignment="1" applyProtection="1">
      <alignment vertical="center"/>
      <protection locked="0"/>
    </xf>
    <xf numFmtId="3" fontId="19" fillId="2" borderId="8" xfId="0" applyNumberFormat="1" applyFont="1" applyFill="1" applyBorder="1" applyAlignment="1" applyProtection="1">
      <alignment vertical="center"/>
      <protection locked="0"/>
    </xf>
    <xf numFmtId="0" fontId="6" fillId="2" borderId="0" xfId="0" applyFont="1" applyFill="1" applyBorder="1" applyAlignment="1">
      <alignment horizontal="right" vertical="center"/>
    </xf>
    <xf numFmtId="3" fontId="4" fillId="2" borderId="3" xfId="0" applyNumberFormat="1" applyFont="1" applyFill="1" applyBorder="1" applyAlignment="1" applyProtection="1">
      <alignment horizontal="center" vertical="center"/>
      <protection locked="0"/>
    </xf>
    <xf numFmtId="43" fontId="0" fillId="2" borderId="2" xfId="1" applyFont="1" applyFill="1" applyBorder="1" applyAlignment="1" applyProtection="1">
      <alignment horizontal="right" vertical="center"/>
      <protection hidden="1"/>
    </xf>
    <xf numFmtId="3" fontId="4" fillId="2" borderId="8" xfId="0" applyNumberFormat="1" applyFont="1" applyFill="1" applyBorder="1" applyAlignment="1" applyProtection="1">
      <alignment vertical="center"/>
      <protection locked="0"/>
    </xf>
    <xf numFmtId="3" fontId="19" fillId="2" borderId="14" xfId="0" applyNumberFormat="1" applyFont="1" applyFill="1" applyBorder="1" applyAlignment="1" applyProtection="1">
      <alignment vertical="center"/>
      <protection locked="0"/>
    </xf>
    <xf numFmtId="3" fontId="19" fillId="2" borderId="12" xfId="0" applyNumberFormat="1" applyFont="1" applyFill="1" applyBorder="1" applyAlignment="1" applyProtection="1">
      <alignment vertical="center"/>
      <protection locked="0"/>
    </xf>
    <xf numFmtId="3" fontId="4" fillId="2" borderId="13" xfId="0" applyNumberFormat="1" applyFont="1" applyFill="1" applyBorder="1" applyAlignment="1" applyProtection="1">
      <alignment vertical="center"/>
      <protection locked="0"/>
    </xf>
    <xf numFmtId="3" fontId="4" fillId="2" borderId="15" xfId="0" applyNumberFormat="1" applyFont="1" applyFill="1" applyBorder="1" applyAlignment="1" applyProtection="1">
      <alignment vertical="center"/>
      <protection locked="0"/>
    </xf>
    <xf numFmtId="3" fontId="4" fillId="2" borderId="16" xfId="0" applyNumberFormat="1" applyFont="1" applyFill="1" applyBorder="1" applyAlignment="1" applyProtection="1">
      <alignment vertical="center"/>
      <protection locked="0"/>
    </xf>
    <xf numFmtId="3" fontId="0" fillId="2" borderId="8" xfId="0" applyNumberFormat="1" applyFont="1" applyFill="1" applyBorder="1" applyAlignment="1" applyProtection="1">
      <alignment vertical="center"/>
      <protection locked="0"/>
    </xf>
    <xf numFmtId="0" fontId="0" fillId="2" borderId="2" xfId="0" applyFont="1" applyFill="1" applyBorder="1" applyAlignment="1" applyProtection="1">
      <alignment vertical="center"/>
      <protection locked="0"/>
    </xf>
    <xf numFmtId="3" fontId="0" fillId="2" borderId="13" xfId="0" applyNumberFormat="1" applyFont="1" applyFill="1" applyBorder="1" applyAlignment="1" applyProtection="1">
      <alignment vertical="center"/>
      <protection locked="0"/>
    </xf>
    <xf numFmtId="3" fontId="0" fillId="2" borderId="5" xfId="0" applyNumberFormat="1" applyFont="1" applyFill="1" applyBorder="1" applyAlignment="1" applyProtection="1">
      <alignment vertical="center"/>
      <protection locked="0"/>
    </xf>
    <xf numFmtId="43" fontId="0" fillId="2" borderId="3" xfId="1" applyFont="1" applyFill="1" applyBorder="1" applyAlignment="1" applyProtection="1">
      <alignment horizontal="right" vertical="center"/>
      <protection locked="0"/>
    </xf>
    <xf numFmtId="0" fontId="0" fillId="2" borderId="1" xfId="0" applyFont="1" applyFill="1" applyBorder="1" applyAlignment="1">
      <alignment horizontal="right" vertical="center"/>
    </xf>
    <xf numFmtId="3" fontId="3" fillId="2" borderId="17" xfId="0" applyNumberFormat="1" applyFont="1" applyFill="1" applyBorder="1" applyAlignment="1" applyProtection="1">
      <alignment vertical="center"/>
      <protection locked="0"/>
    </xf>
    <xf numFmtId="3" fontId="3" fillId="2" borderId="8" xfId="0" applyNumberFormat="1" applyFont="1" applyFill="1" applyBorder="1" applyAlignment="1" applyProtection="1">
      <alignment vertical="center"/>
      <protection locked="0"/>
    </xf>
    <xf numFmtId="0" fontId="0" fillId="2" borderId="13" xfId="0" applyFont="1" applyFill="1" applyBorder="1" applyAlignment="1">
      <alignment horizontal="right" vertical="center"/>
    </xf>
    <xf numFmtId="3" fontId="0" fillId="2" borderId="2" xfId="1" applyNumberFormat="1" applyFont="1" applyFill="1" applyBorder="1" applyAlignment="1" applyProtection="1">
      <alignment horizontal="right" vertical="center"/>
      <protection locked="0"/>
    </xf>
    <xf numFmtId="0" fontId="0" fillId="0" borderId="0" xfId="0" applyFont="1" applyFill="1" applyAlignment="1">
      <alignment vertical="center"/>
    </xf>
    <xf numFmtId="3" fontId="0" fillId="2" borderId="15" xfId="0" applyNumberFormat="1" applyFont="1" applyFill="1" applyBorder="1" applyAlignment="1" applyProtection="1">
      <alignment vertical="center"/>
      <protection locked="0"/>
    </xf>
    <xf numFmtId="3" fontId="0" fillId="2" borderId="16" xfId="0" applyNumberFormat="1" applyFont="1" applyFill="1" applyBorder="1" applyAlignment="1" applyProtection="1">
      <alignment vertical="center"/>
      <protection locked="0"/>
    </xf>
    <xf numFmtId="0" fontId="0" fillId="2" borderId="19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164" fontId="12" fillId="2" borderId="0" xfId="0" applyNumberFormat="1" applyFont="1" applyFill="1" applyBorder="1" applyAlignment="1" applyProtection="1">
      <alignment horizontal="center" vertical="center"/>
      <protection locked="0"/>
    </xf>
    <xf numFmtId="0" fontId="3" fillId="2" borderId="12" xfId="0" applyFont="1" applyFill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43" fontId="4" fillId="2" borderId="12" xfId="1" applyFont="1" applyFill="1" applyBorder="1" applyAlignment="1" applyProtection="1">
      <alignment horizontal="right" vertical="center"/>
      <protection hidden="1"/>
    </xf>
    <xf numFmtId="0" fontId="6" fillId="2" borderId="18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6" fontId="2" fillId="2" borderId="20" xfId="0" applyNumberFormat="1" applyFont="1" applyFill="1" applyBorder="1" applyAlignment="1">
      <alignment horizontal="center" vertical="center"/>
    </xf>
    <xf numFmtId="166" fontId="6" fillId="2" borderId="20" xfId="0" applyNumberFormat="1" applyFont="1" applyFill="1" applyBorder="1" applyAlignment="1">
      <alignment horizontal="center" vertical="center"/>
    </xf>
    <xf numFmtId="166" fontId="2" fillId="2" borderId="12" xfId="0" applyNumberFormat="1" applyFont="1" applyFill="1" applyBorder="1" applyAlignment="1">
      <alignment horizontal="center" vertical="center"/>
    </xf>
    <xf numFmtId="166" fontId="6" fillId="2" borderId="12" xfId="0" applyNumberFormat="1" applyFont="1" applyFill="1" applyBorder="1" applyAlignment="1">
      <alignment horizontal="center" vertical="center"/>
    </xf>
    <xf numFmtId="1" fontId="0" fillId="2" borderId="3" xfId="1" applyNumberFormat="1" applyFont="1" applyFill="1" applyBorder="1" applyAlignment="1" applyProtection="1">
      <alignment horizontal="right" vertical="center"/>
      <protection locked="0"/>
    </xf>
    <xf numFmtId="0" fontId="4" fillId="2" borderId="15" xfId="0" applyFont="1" applyFill="1" applyBorder="1" applyAlignment="1" applyProtection="1">
      <alignment vertical="center"/>
      <protection locked="0"/>
    </xf>
    <xf numFmtId="0" fontId="11" fillId="2" borderId="4" xfId="0" applyFont="1" applyFill="1" applyBorder="1" applyAlignment="1" applyProtection="1">
      <alignment vertical="center"/>
      <protection locked="0"/>
    </xf>
    <xf numFmtId="0" fontId="20" fillId="2" borderId="0" xfId="0" applyFont="1" applyFill="1" applyBorder="1" applyAlignment="1">
      <alignment vertical="center"/>
    </xf>
    <xf numFmtId="0" fontId="10" fillId="4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right" vertical="center"/>
    </xf>
    <xf numFmtId="0" fontId="6" fillId="2" borderId="21" xfId="0" applyFont="1" applyFill="1" applyBorder="1" applyAlignment="1">
      <alignment horizontal="center" vertical="center"/>
    </xf>
    <xf numFmtId="3" fontId="19" fillId="2" borderId="1" xfId="0" applyNumberFormat="1" applyFont="1" applyFill="1" applyBorder="1" applyAlignment="1" applyProtection="1">
      <alignment vertical="center"/>
      <protection locked="0"/>
    </xf>
    <xf numFmtId="3" fontId="0" fillId="0" borderId="2" xfId="0" applyNumberFormat="1" applyFont="1" applyFill="1" applyBorder="1" applyAlignment="1" applyProtection="1">
      <alignment vertical="center"/>
      <protection locked="0"/>
    </xf>
    <xf numFmtId="0" fontId="0" fillId="2" borderId="8" xfId="0" applyFont="1" applyFill="1" applyBorder="1" applyAlignment="1">
      <alignment vertical="center"/>
    </xf>
    <xf numFmtId="0" fontId="0" fillId="2" borderId="18" xfId="0" applyFont="1" applyFill="1" applyBorder="1" applyAlignment="1" applyProtection="1">
      <alignment horizontal="right" vertical="center"/>
      <protection locked="0"/>
    </xf>
    <xf numFmtId="167" fontId="6" fillId="2" borderId="22" xfId="0" applyNumberFormat="1" applyFont="1" applyFill="1" applyBorder="1" applyAlignment="1">
      <alignment horizontal="center" vertical="center"/>
    </xf>
    <xf numFmtId="43" fontId="4" fillId="2" borderId="4" xfId="1" applyFont="1" applyFill="1" applyBorder="1" applyAlignment="1" applyProtection="1">
      <alignment horizontal="right" vertical="center"/>
      <protection locked="0"/>
    </xf>
    <xf numFmtId="0" fontId="0" fillId="2" borderId="14" xfId="0" applyFont="1" applyFill="1" applyBorder="1" applyAlignment="1">
      <alignment horizontal="right" vertical="center"/>
    </xf>
    <xf numFmtId="3" fontId="19" fillId="2" borderId="17" xfId="0" applyNumberFormat="1" applyFont="1" applyFill="1" applyBorder="1" applyAlignment="1">
      <alignment vertical="center"/>
    </xf>
    <xf numFmtId="3" fontId="4" fillId="2" borderId="17" xfId="0" applyNumberFormat="1" applyFont="1" applyFill="1" applyBorder="1" applyAlignment="1" applyProtection="1">
      <alignment vertical="center"/>
      <protection locked="0"/>
    </xf>
    <xf numFmtId="0" fontId="19" fillId="2" borderId="17" xfId="0" applyFont="1" applyFill="1" applyBorder="1" applyAlignment="1">
      <alignment vertical="center"/>
    </xf>
    <xf numFmtId="3" fontId="19" fillId="2" borderId="17" xfId="0" applyNumberFormat="1" applyFont="1" applyFill="1" applyBorder="1" applyAlignment="1" applyProtection="1">
      <alignment vertical="center"/>
      <protection locked="0"/>
    </xf>
    <xf numFmtId="1" fontId="0" fillId="2" borderId="2" xfId="0" applyNumberFormat="1" applyFont="1" applyFill="1" applyBorder="1" applyAlignment="1" applyProtection="1">
      <alignment horizontal="right" vertical="center"/>
      <protection locked="0"/>
    </xf>
    <xf numFmtId="4" fontId="0" fillId="2" borderId="10" xfId="0" applyNumberFormat="1" applyFont="1" applyFill="1" applyBorder="1" applyAlignment="1" applyProtection="1">
      <alignment vertical="center"/>
      <protection locked="0"/>
    </xf>
    <xf numFmtId="3" fontId="19" fillId="2" borderId="10" xfId="0" applyNumberFormat="1" applyFont="1" applyFill="1" applyBorder="1" applyAlignment="1">
      <alignment vertical="center"/>
    </xf>
    <xf numFmtId="3" fontId="0" fillId="2" borderId="1" xfId="0" applyNumberFormat="1" applyFont="1" applyFill="1" applyBorder="1" applyAlignment="1">
      <alignment vertical="center"/>
    </xf>
    <xf numFmtId="3" fontId="0" fillId="0" borderId="2" xfId="0" applyNumberFormat="1" applyFont="1" applyBorder="1" applyAlignment="1">
      <alignment vertical="center"/>
    </xf>
    <xf numFmtId="3" fontId="0" fillId="2" borderId="17" xfId="0" applyNumberFormat="1" applyFont="1" applyFill="1" applyBorder="1" applyAlignment="1">
      <alignment vertical="center"/>
    </xf>
    <xf numFmtId="4" fontId="0" fillId="2" borderId="2" xfId="0" applyNumberFormat="1" applyFont="1" applyFill="1" applyBorder="1" applyAlignment="1" applyProtection="1">
      <alignment vertical="center"/>
      <protection locked="0"/>
    </xf>
    <xf numFmtId="3" fontId="19" fillId="2" borderId="14" xfId="0" applyNumberFormat="1" applyFont="1" applyFill="1" applyBorder="1" applyAlignment="1">
      <alignment vertical="center"/>
    </xf>
    <xf numFmtId="3" fontId="11" fillId="2" borderId="3" xfId="0" applyNumberFormat="1" applyFont="1" applyFill="1" applyBorder="1" applyAlignment="1" applyProtection="1">
      <alignment vertical="center"/>
      <protection locked="0"/>
    </xf>
    <xf numFmtId="3" fontId="0" fillId="2" borderId="13" xfId="0" applyNumberFormat="1" applyFont="1" applyFill="1" applyBorder="1" applyAlignment="1">
      <alignment vertical="center"/>
    </xf>
    <xf numFmtId="3" fontId="0" fillId="2" borderId="15" xfId="0" applyNumberFormat="1" applyFont="1" applyFill="1" applyBorder="1" applyAlignment="1">
      <alignment vertical="center"/>
    </xf>
    <xf numFmtId="3" fontId="0" fillId="2" borderId="14" xfId="0" applyNumberFormat="1" applyFont="1" applyFill="1" applyBorder="1" applyAlignment="1">
      <alignment vertical="center"/>
    </xf>
    <xf numFmtId="3" fontId="19" fillId="2" borderId="4" xfId="0" applyNumberFormat="1" applyFont="1" applyFill="1" applyBorder="1" applyAlignment="1">
      <alignment vertical="center"/>
    </xf>
    <xf numFmtId="3" fontId="19" fillId="2" borderId="6" xfId="0" applyNumberFormat="1" applyFont="1" applyFill="1" applyBorder="1" applyAlignment="1">
      <alignment vertical="center"/>
    </xf>
    <xf numFmtId="3" fontId="0" fillId="2" borderId="4" xfId="0" applyNumberFormat="1" applyFont="1" applyFill="1" applyBorder="1" applyAlignment="1">
      <alignment vertical="center"/>
    </xf>
    <xf numFmtId="3" fontId="11" fillId="2" borderId="1" xfId="0" applyNumberFormat="1" applyFont="1" applyFill="1" applyBorder="1" applyAlignment="1">
      <alignment vertical="center"/>
    </xf>
    <xf numFmtId="43" fontId="4" fillId="2" borderId="14" xfId="1" applyFont="1" applyFill="1" applyBorder="1" applyAlignment="1" applyProtection="1">
      <alignment horizontal="right" vertical="center"/>
      <protection locked="0"/>
    </xf>
    <xf numFmtId="0" fontId="0" fillId="0" borderId="0" xfId="0" applyFont="1" applyAlignment="1">
      <alignment vertical="center"/>
    </xf>
    <xf numFmtId="166" fontId="5" fillId="2" borderId="0" xfId="0" applyNumberFormat="1" applyFont="1" applyFill="1" applyBorder="1" applyAlignment="1">
      <alignment horizontal="center" vertical="center"/>
    </xf>
    <xf numFmtId="166" fontId="15" fillId="2" borderId="0" xfId="0" applyNumberFormat="1" applyFont="1" applyFill="1" applyBorder="1" applyAlignment="1">
      <alignment horizontal="center" vertical="center"/>
    </xf>
    <xf numFmtId="3" fontId="4" fillId="2" borderId="9" xfId="0" applyNumberFormat="1" applyFont="1" applyFill="1" applyBorder="1" applyAlignment="1">
      <alignment vertical="center"/>
    </xf>
    <xf numFmtId="3" fontId="10" fillId="4" borderId="2" xfId="0" applyNumberFormat="1" applyFont="1" applyFill="1" applyBorder="1" applyAlignment="1">
      <alignment horizontal="center" vertical="center"/>
    </xf>
    <xf numFmtId="0" fontId="3" fillId="0" borderId="0" xfId="0" applyFont="1" applyBorder="1"/>
    <xf numFmtId="0" fontId="4" fillId="2" borderId="47" xfId="0" applyFont="1" applyFill="1" applyBorder="1" applyAlignment="1">
      <alignment vertical="center"/>
    </xf>
    <xf numFmtId="0" fontId="3" fillId="2" borderId="48" xfId="0" applyFont="1" applyFill="1" applyBorder="1" applyAlignment="1">
      <alignment horizontal="center" vertical="center"/>
    </xf>
    <xf numFmtId="0" fontId="4" fillId="2" borderId="48" xfId="0" applyFont="1" applyFill="1" applyBorder="1" applyAlignment="1" applyProtection="1">
      <alignment vertical="center"/>
      <protection locked="0"/>
    </xf>
    <xf numFmtId="43" fontId="4" fillId="2" borderId="48" xfId="1" applyFont="1" applyFill="1" applyBorder="1" applyAlignment="1" applyProtection="1">
      <alignment horizontal="right" vertical="center"/>
      <protection locked="0"/>
    </xf>
    <xf numFmtId="0" fontId="3" fillId="2" borderId="48" xfId="0" applyFont="1" applyFill="1" applyBorder="1" applyAlignment="1">
      <alignment vertical="center"/>
    </xf>
    <xf numFmtId="0" fontId="4" fillId="2" borderId="49" xfId="0" applyFont="1" applyFill="1" applyBorder="1" applyAlignment="1">
      <alignment vertical="center"/>
    </xf>
    <xf numFmtId="0" fontId="4" fillId="2" borderId="50" xfId="0" applyFont="1" applyFill="1" applyBorder="1" applyAlignment="1">
      <alignment vertical="center"/>
    </xf>
    <xf numFmtId="0" fontId="4" fillId="2" borderId="51" xfId="0" applyFont="1" applyFill="1" applyBorder="1" applyAlignment="1">
      <alignment vertical="center"/>
    </xf>
    <xf numFmtId="0" fontId="5" fillId="2" borderId="50" xfId="0" applyFont="1" applyFill="1" applyBorder="1" applyAlignment="1">
      <alignment vertical="center"/>
    </xf>
    <xf numFmtId="0" fontId="5" fillId="2" borderId="51" xfId="0" applyFont="1" applyFill="1" applyBorder="1" applyAlignment="1">
      <alignment vertical="center"/>
    </xf>
    <xf numFmtId="3" fontId="6" fillId="2" borderId="50" xfId="0" applyNumberFormat="1" applyFont="1" applyFill="1" applyBorder="1" applyAlignment="1">
      <alignment vertical="center"/>
    </xf>
    <xf numFmtId="3" fontId="6" fillId="2" borderId="51" xfId="0" applyNumberFormat="1" applyFont="1" applyFill="1" applyBorder="1" applyAlignment="1">
      <alignment vertical="center"/>
    </xf>
    <xf numFmtId="3" fontId="4" fillId="2" borderId="50" xfId="0" applyNumberFormat="1" applyFont="1" applyFill="1" applyBorder="1" applyAlignment="1">
      <alignment vertical="center"/>
    </xf>
    <xf numFmtId="3" fontId="4" fillId="2" borderId="51" xfId="0" applyNumberFormat="1" applyFont="1" applyFill="1" applyBorder="1" applyAlignment="1">
      <alignment vertical="center"/>
    </xf>
    <xf numFmtId="3" fontId="2" fillId="2" borderId="50" xfId="0" applyNumberFormat="1" applyFont="1" applyFill="1" applyBorder="1" applyAlignment="1">
      <alignment vertical="center"/>
    </xf>
    <xf numFmtId="3" fontId="2" fillId="2" borderId="51" xfId="0" applyNumberFormat="1" applyFont="1" applyFill="1" applyBorder="1" applyAlignment="1">
      <alignment vertical="center"/>
    </xf>
    <xf numFmtId="164" fontId="12" fillId="2" borderId="50" xfId="0" applyNumberFormat="1" applyFont="1" applyFill="1" applyBorder="1" applyAlignment="1" applyProtection="1">
      <alignment horizontal="center" vertical="center"/>
      <protection locked="0"/>
    </xf>
    <xf numFmtId="164" fontId="12" fillId="2" borderId="51" xfId="0" applyNumberFormat="1" applyFont="1" applyFill="1" applyBorder="1" applyAlignment="1" applyProtection="1">
      <alignment horizontal="center" vertical="center"/>
      <protection locked="0"/>
    </xf>
    <xf numFmtId="0" fontId="2" fillId="2" borderId="50" xfId="0" applyFont="1" applyFill="1" applyBorder="1" applyAlignment="1">
      <alignment vertical="center"/>
    </xf>
    <xf numFmtId="0" fontId="2" fillId="2" borderId="51" xfId="0" applyFont="1" applyFill="1" applyBorder="1" applyAlignment="1">
      <alignment vertical="center"/>
    </xf>
    <xf numFmtId="0" fontId="0" fillId="2" borderId="50" xfId="0" applyFont="1" applyFill="1" applyBorder="1" applyAlignment="1">
      <alignment vertical="center"/>
    </xf>
    <xf numFmtId="0" fontId="0" fillId="2" borderId="51" xfId="0" applyFont="1" applyFill="1" applyBorder="1" applyAlignment="1">
      <alignment vertical="center"/>
    </xf>
    <xf numFmtId="3" fontId="0" fillId="2" borderId="50" xfId="0" applyNumberFormat="1" applyFont="1" applyFill="1" applyBorder="1" applyAlignment="1">
      <alignment vertical="center"/>
    </xf>
    <xf numFmtId="3" fontId="0" fillId="2" borderId="51" xfId="0" applyNumberFormat="1" applyFont="1" applyFill="1" applyBorder="1" applyAlignment="1">
      <alignment vertical="center"/>
    </xf>
    <xf numFmtId="3" fontId="19" fillId="2" borderId="50" xfId="0" applyNumberFormat="1" applyFont="1" applyFill="1" applyBorder="1" applyAlignment="1">
      <alignment vertical="center"/>
    </xf>
    <xf numFmtId="3" fontId="19" fillId="2" borderId="51" xfId="0" applyNumberFormat="1" applyFont="1" applyFill="1" applyBorder="1" applyAlignment="1">
      <alignment vertical="center"/>
    </xf>
    <xf numFmtId="0" fontId="3" fillId="2" borderId="50" xfId="0" applyFont="1" applyFill="1" applyBorder="1" applyAlignment="1">
      <alignment vertical="center"/>
    </xf>
    <xf numFmtId="0" fontId="3" fillId="2" borderId="51" xfId="0" applyFont="1" applyFill="1" applyBorder="1" applyAlignment="1">
      <alignment vertical="center"/>
    </xf>
    <xf numFmtId="0" fontId="4" fillId="2" borderId="52" xfId="0" applyFont="1" applyFill="1" applyBorder="1" applyAlignment="1">
      <alignment vertical="center"/>
    </xf>
    <xf numFmtId="0" fontId="3" fillId="2" borderId="53" xfId="0" applyFont="1" applyFill="1" applyBorder="1" applyAlignment="1">
      <alignment horizontal="center" vertical="center"/>
    </xf>
    <xf numFmtId="0" fontId="4" fillId="2" borderId="53" xfId="0" applyFont="1" applyFill="1" applyBorder="1" applyAlignment="1" applyProtection="1">
      <alignment vertical="center"/>
      <protection locked="0"/>
    </xf>
    <xf numFmtId="43" fontId="4" fillId="2" borderId="53" xfId="1" applyFont="1" applyFill="1" applyBorder="1" applyAlignment="1" applyProtection="1">
      <alignment horizontal="right" vertical="center"/>
      <protection locked="0"/>
    </xf>
    <xf numFmtId="0" fontId="3" fillId="2" borderId="53" xfId="0" applyFont="1" applyFill="1" applyBorder="1" applyAlignment="1">
      <alignment vertical="center"/>
    </xf>
    <xf numFmtId="0" fontId="4" fillId="2" borderId="54" xfId="0" applyFont="1" applyFill="1" applyBorder="1" applyAlignment="1">
      <alignment vertical="center"/>
    </xf>
    <xf numFmtId="0" fontId="4" fillId="2" borderId="48" xfId="0" applyFont="1" applyFill="1" applyBorder="1" applyAlignment="1">
      <alignment vertical="center"/>
    </xf>
    <xf numFmtId="0" fontId="4" fillId="2" borderId="53" xfId="0" applyFont="1" applyFill="1" applyBorder="1" applyAlignment="1">
      <alignment vertical="center"/>
    </xf>
    <xf numFmtId="0" fontId="4" fillId="2" borderId="53" xfId="0" applyFont="1" applyFill="1" applyBorder="1" applyAlignment="1" applyProtection="1">
      <alignment horizontal="left" vertical="center"/>
      <protection hidden="1"/>
    </xf>
    <xf numFmtId="43" fontId="4" fillId="2" borderId="53" xfId="1" applyFont="1" applyFill="1" applyBorder="1" applyAlignment="1" applyProtection="1">
      <alignment horizontal="right" vertical="center"/>
      <protection hidden="1"/>
    </xf>
    <xf numFmtId="0" fontId="4" fillId="2" borderId="53" xfId="0" applyFont="1" applyFill="1" applyBorder="1" applyAlignment="1" applyProtection="1">
      <alignment vertical="center"/>
      <protection hidden="1"/>
    </xf>
    <xf numFmtId="4" fontId="6" fillId="0" borderId="53" xfId="0" applyNumberFormat="1" applyFont="1" applyFill="1" applyBorder="1" applyAlignment="1" applyProtection="1">
      <alignment vertical="center"/>
      <protection hidden="1"/>
    </xf>
    <xf numFmtId="4" fontId="2" fillId="2" borderId="53" xfId="0" applyNumberFormat="1" applyFont="1" applyFill="1" applyBorder="1" applyAlignment="1">
      <alignment vertical="center"/>
    </xf>
    <xf numFmtId="3" fontId="4" fillId="2" borderId="53" xfId="0" applyNumberFormat="1" applyFont="1" applyFill="1" applyBorder="1" applyAlignment="1">
      <alignment vertical="center"/>
    </xf>
    <xf numFmtId="3" fontId="3" fillId="2" borderId="53" xfId="0" applyNumberFormat="1" applyFont="1" applyFill="1" applyBorder="1" applyAlignment="1">
      <alignment vertical="center"/>
    </xf>
    <xf numFmtId="0" fontId="3" fillId="4" borderId="0" xfId="0" applyFont="1" applyFill="1" applyBorder="1" applyAlignment="1">
      <alignment horizontal="center" vertical="center"/>
    </xf>
    <xf numFmtId="0" fontId="0" fillId="4" borderId="0" xfId="0" applyFill="1"/>
    <xf numFmtId="43" fontId="0" fillId="2" borderId="13" xfId="1" applyFont="1" applyFill="1" applyBorder="1" applyAlignment="1" applyProtection="1">
      <alignment horizontal="right" vertical="center"/>
      <protection locked="0"/>
    </xf>
    <xf numFmtId="3" fontId="0" fillId="2" borderId="0" xfId="1" applyNumberFormat="1" applyFont="1" applyFill="1" applyBorder="1" applyAlignment="1" applyProtection="1">
      <alignment horizontal="right" vertical="center"/>
      <protection locked="0"/>
    </xf>
    <xf numFmtId="3" fontId="0" fillId="2" borderId="51" xfId="0" applyNumberFormat="1" applyFont="1" applyFill="1" applyBorder="1" applyAlignment="1">
      <alignment vertical="center"/>
    </xf>
    <xf numFmtId="3" fontId="0" fillId="2" borderId="50" xfId="0" applyNumberFormat="1" applyFont="1" applyFill="1" applyBorder="1" applyAlignment="1">
      <alignment vertical="center"/>
    </xf>
    <xf numFmtId="3" fontId="0" fillId="2" borderId="14" xfId="0" applyNumberFormat="1" applyFont="1" applyFill="1" applyBorder="1" applyAlignment="1" applyProtection="1">
      <alignment vertical="center"/>
      <protection locked="0"/>
    </xf>
    <xf numFmtId="3" fontId="0" fillId="2" borderId="12" xfId="0" applyNumberFormat="1" applyFont="1" applyFill="1" applyBorder="1" applyAlignment="1" applyProtection="1">
      <alignment vertical="center"/>
      <protection locked="0"/>
    </xf>
    <xf numFmtId="3" fontId="0" fillId="2" borderId="17" xfId="0" applyNumberFormat="1" applyFont="1" applyFill="1" applyBorder="1" applyAlignment="1" applyProtection="1">
      <alignment vertical="center"/>
      <protection locked="0"/>
    </xf>
    <xf numFmtId="0" fontId="9" fillId="2" borderId="13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right" vertical="center"/>
    </xf>
    <xf numFmtId="10" fontId="4" fillId="2" borderId="2" xfId="0" applyNumberFormat="1" applyFont="1" applyFill="1" applyBorder="1" applyAlignment="1" applyProtection="1">
      <alignment vertical="center"/>
      <protection locked="0"/>
    </xf>
    <xf numFmtId="0" fontId="9" fillId="2" borderId="1" xfId="0" applyFont="1" applyFill="1" applyBorder="1" applyAlignment="1">
      <alignment horizontal="left" vertical="center"/>
    </xf>
    <xf numFmtId="3" fontId="0" fillId="2" borderId="50" xfId="0" applyNumberFormat="1" applyFont="1" applyFill="1" applyBorder="1" applyAlignment="1">
      <alignment vertical="center"/>
    </xf>
    <xf numFmtId="3" fontId="0" fillId="2" borderId="51" xfId="0" applyNumberFormat="1" applyFont="1" applyFill="1" applyBorder="1" applyAlignment="1">
      <alignment vertical="center"/>
    </xf>
    <xf numFmtId="3" fontId="0" fillId="2" borderId="3" xfId="0" applyNumberFormat="1" applyFont="1" applyFill="1" applyBorder="1" applyAlignment="1">
      <alignment vertical="center"/>
    </xf>
    <xf numFmtId="3" fontId="0" fillId="2" borderId="50" xfId="0" applyNumberFormat="1" applyFont="1" applyFill="1" applyBorder="1" applyAlignment="1">
      <alignment vertical="center"/>
    </xf>
    <xf numFmtId="3" fontId="0" fillId="2" borderId="51" xfId="0" applyNumberFormat="1" applyFont="1" applyFill="1" applyBorder="1" applyAlignment="1">
      <alignment vertical="center"/>
    </xf>
    <xf numFmtId="3" fontId="0" fillId="2" borderId="4" xfId="0" applyNumberFormat="1" applyFont="1" applyFill="1" applyBorder="1" applyAlignment="1" applyProtection="1">
      <alignment vertical="center"/>
      <protection locked="0"/>
    </xf>
    <xf numFmtId="3" fontId="0" fillId="2" borderId="11" xfId="0" applyNumberFormat="1" applyFont="1" applyFill="1" applyBorder="1" applyAlignment="1" applyProtection="1">
      <alignment vertical="center"/>
      <protection locked="0"/>
    </xf>
    <xf numFmtId="4" fontId="4" fillId="2" borderId="0" xfId="0" applyNumberFormat="1" applyFont="1" applyFill="1" applyBorder="1" applyAlignment="1" applyProtection="1">
      <alignment horizontal="right" vertical="center"/>
      <protection locked="0"/>
    </xf>
    <xf numFmtId="4" fontId="4" fillId="2" borderId="1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vertical="center"/>
    </xf>
    <xf numFmtId="4" fontId="4" fillId="2" borderId="2" xfId="0" applyNumberFormat="1" applyFont="1" applyFill="1" applyBorder="1" applyAlignment="1" applyProtection="1">
      <alignment horizontal="right" vertical="center"/>
      <protection locked="0"/>
    </xf>
    <xf numFmtId="3" fontId="4" fillId="2" borderId="1" xfId="0" applyNumberFormat="1" applyFont="1" applyFill="1" applyBorder="1" applyAlignment="1">
      <alignment vertical="center"/>
    </xf>
    <xf numFmtId="0" fontId="4" fillId="2" borderId="2" xfId="0" applyNumberFormat="1" applyFont="1" applyFill="1" applyBorder="1" applyAlignment="1" applyProtection="1">
      <alignment vertical="center"/>
      <protection locked="0"/>
    </xf>
    <xf numFmtId="2" fontId="4" fillId="2" borderId="2" xfId="1" applyNumberFormat="1" applyFont="1" applyFill="1" applyBorder="1" applyAlignment="1" applyProtection="1">
      <alignment horizontal="right" vertical="center"/>
      <protection locked="0"/>
    </xf>
    <xf numFmtId="3" fontId="4" fillId="4" borderId="2" xfId="0" applyNumberFormat="1" applyFont="1" applyFill="1" applyBorder="1" applyAlignment="1" applyProtection="1">
      <alignment horizontal="right" vertical="center"/>
      <protection locked="0"/>
    </xf>
    <xf numFmtId="3" fontId="4" fillId="4" borderId="2" xfId="0" applyNumberFormat="1" applyFont="1" applyFill="1" applyBorder="1" applyAlignment="1" applyProtection="1">
      <alignment vertical="center"/>
      <protection locked="0"/>
    </xf>
    <xf numFmtId="3" fontId="4" fillId="2" borderId="3" xfId="0" applyNumberFormat="1" applyFont="1" applyFill="1" applyBorder="1" applyAlignment="1">
      <alignment vertical="center"/>
    </xf>
    <xf numFmtId="3" fontId="4" fillId="2" borderId="2" xfId="0" applyNumberFormat="1" applyFont="1" applyFill="1" applyBorder="1" applyAlignment="1">
      <alignment vertical="center"/>
    </xf>
    <xf numFmtId="10" fontId="4" fillId="2" borderId="0" xfId="0" applyNumberFormat="1" applyFont="1" applyFill="1" applyBorder="1" applyAlignment="1" applyProtection="1">
      <alignment vertical="center"/>
      <protection locked="0"/>
    </xf>
    <xf numFmtId="3" fontId="4" fillId="2" borderId="8" xfId="0" applyNumberFormat="1" applyFont="1" applyFill="1" applyBorder="1" applyAlignment="1">
      <alignment vertical="center"/>
    </xf>
    <xf numFmtId="0" fontId="4" fillId="2" borderId="8" xfId="0" applyFont="1" applyFill="1" applyBorder="1" applyAlignment="1">
      <alignment vertical="center"/>
    </xf>
    <xf numFmtId="1" fontId="4" fillId="2" borderId="0" xfId="1" applyNumberFormat="1" applyFont="1" applyFill="1" applyBorder="1" applyAlignment="1" applyProtection="1">
      <alignment horizontal="right" vertical="center"/>
      <protection locked="0"/>
    </xf>
    <xf numFmtId="3" fontId="4" fillId="2" borderId="14" xfId="0" applyNumberFormat="1" applyFont="1" applyFill="1" applyBorder="1" applyAlignment="1" applyProtection="1">
      <alignment vertical="center"/>
      <protection locked="0"/>
    </xf>
    <xf numFmtId="0" fontId="3" fillId="2" borderId="15" xfId="0" applyFont="1" applyFill="1" applyBorder="1" applyAlignment="1" applyProtection="1">
      <alignment horizontal="left" vertical="center"/>
      <protection locked="0"/>
    </xf>
    <xf numFmtId="0" fontId="3" fillId="2" borderId="4" xfId="0" applyFont="1" applyFill="1" applyBorder="1" applyAlignment="1" applyProtection="1">
      <alignment horizontal="left" vertical="center"/>
      <protection locked="0"/>
    </xf>
    <xf numFmtId="0" fontId="3" fillId="2" borderId="2" xfId="0" applyFont="1" applyFill="1" applyBorder="1" applyAlignment="1" applyProtection="1">
      <alignment horizontal="left" vertical="center"/>
      <protection locked="0"/>
    </xf>
    <xf numFmtId="0" fontId="3" fillId="2" borderId="10" xfId="0" applyFont="1" applyFill="1" applyBorder="1" applyAlignment="1" applyProtection="1">
      <alignment horizontal="left" vertical="center"/>
      <protection locked="0"/>
    </xf>
    <xf numFmtId="0" fontId="3" fillId="2" borderId="14" xfId="0" applyFont="1" applyFill="1" applyBorder="1" applyAlignment="1" applyProtection="1">
      <alignment horizontal="left" vertical="center"/>
      <protection locked="0"/>
    </xf>
    <xf numFmtId="0" fontId="3" fillId="0" borderId="4" xfId="0" applyFont="1" applyFill="1" applyBorder="1" applyAlignment="1" applyProtection="1">
      <alignment horizontal="left" vertical="center"/>
      <protection locked="0"/>
    </xf>
    <xf numFmtId="0" fontId="3" fillId="2" borderId="4" xfId="0" applyFont="1" applyFill="1" applyBorder="1" applyAlignment="1" applyProtection="1">
      <alignment vertical="center"/>
      <protection locked="0"/>
    </xf>
    <xf numFmtId="0" fontId="3" fillId="4" borderId="10" xfId="0" applyFont="1" applyFill="1" applyBorder="1" applyAlignment="1" applyProtection="1">
      <alignment horizontal="left" vertical="center"/>
      <protection locked="0"/>
    </xf>
    <xf numFmtId="0" fontId="3" fillId="2" borderId="14" xfId="0" applyFont="1" applyFill="1" applyBorder="1" applyAlignment="1">
      <alignment horizontal="left" vertical="center"/>
    </xf>
    <xf numFmtId="3" fontId="19" fillId="2" borderId="50" xfId="0" applyNumberFormat="1" applyFont="1" applyFill="1" applyBorder="1" applyAlignment="1">
      <alignment vertical="center"/>
    </xf>
    <xf numFmtId="3" fontId="19" fillId="2" borderId="51" xfId="0" applyNumberFormat="1" applyFont="1" applyFill="1" applyBorder="1" applyAlignment="1">
      <alignment vertical="center"/>
    </xf>
    <xf numFmtId="0" fontId="21" fillId="2" borderId="0" xfId="0" applyFont="1" applyFill="1" applyBorder="1" applyAlignment="1">
      <alignment horizontal="center" vertical="center"/>
    </xf>
    <xf numFmtId="0" fontId="4" fillId="5" borderId="0" xfId="0" applyFont="1" applyFill="1" applyAlignment="1">
      <alignment vertical="center"/>
    </xf>
    <xf numFmtId="0" fontId="7" fillId="5" borderId="0" xfId="0" applyFont="1" applyFill="1" applyAlignment="1">
      <alignment vertical="center"/>
    </xf>
    <xf numFmtId="0" fontId="5" fillId="5" borderId="0" xfId="0" applyFont="1" applyFill="1" applyAlignment="1">
      <alignment vertical="center"/>
    </xf>
    <xf numFmtId="0" fontId="6" fillId="5" borderId="0" xfId="0" applyFont="1" applyFill="1" applyAlignment="1">
      <alignment vertical="center"/>
    </xf>
    <xf numFmtId="0" fontId="2" fillId="5" borderId="0" xfId="0" applyFont="1" applyFill="1" applyAlignment="1">
      <alignment vertical="center"/>
    </xf>
    <xf numFmtId="0" fontId="4" fillId="5" borderId="0" xfId="0" applyFont="1" applyFill="1" applyBorder="1" applyAlignment="1">
      <alignment vertical="center"/>
    </xf>
    <xf numFmtId="0" fontId="0" fillId="5" borderId="0" xfId="0" applyFont="1" applyFill="1" applyAlignment="1">
      <alignment vertical="center"/>
    </xf>
    <xf numFmtId="0" fontId="19" fillId="5" borderId="0" xfId="0" applyFont="1" applyFill="1" applyAlignment="1">
      <alignment vertical="center"/>
    </xf>
    <xf numFmtId="0" fontId="3" fillId="5" borderId="0" xfId="0" applyFont="1" applyFill="1" applyAlignment="1">
      <alignment horizontal="center" vertical="center"/>
    </xf>
    <xf numFmtId="0" fontId="4" fillId="5" borderId="0" xfId="0" applyFont="1" applyFill="1" applyBorder="1" applyAlignment="1" applyProtection="1">
      <alignment vertical="center"/>
      <protection locked="0"/>
    </xf>
    <xf numFmtId="43" fontId="4" fillId="5" borderId="0" xfId="1" applyFont="1" applyFill="1" applyBorder="1" applyAlignment="1" applyProtection="1">
      <alignment horizontal="right" vertical="center"/>
      <protection locked="0"/>
    </xf>
    <xf numFmtId="0" fontId="3" fillId="5" borderId="0" xfId="0" applyFont="1" applyFill="1" applyAlignment="1">
      <alignment vertical="center"/>
    </xf>
    <xf numFmtId="3" fontId="2" fillId="2" borderId="50" xfId="0" applyNumberFormat="1" applyFont="1" applyFill="1" applyBorder="1" applyAlignment="1">
      <alignment vertical="center"/>
    </xf>
    <xf numFmtId="3" fontId="2" fillId="2" borderId="51" xfId="0" applyNumberFormat="1" applyFont="1" applyFill="1" applyBorder="1" applyAlignment="1">
      <alignment vertical="center"/>
    </xf>
    <xf numFmtId="0" fontId="2" fillId="4" borderId="0" xfId="0" applyFont="1" applyFill="1" applyBorder="1" applyAlignment="1" applyProtection="1">
      <alignment horizontal="center" vertical="center"/>
      <protection locked="0"/>
    </xf>
    <xf numFmtId="3" fontId="2" fillId="4" borderId="0" xfId="0" applyNumberFormat="1" applyFont="1" applyFill="1" applyBorder="1" applyAlignment="1" applyProtection="1">
      <alignment horizontal="right" vertical="center"/>
      <protection hidden="1"/>
    </xf>
    <xf numFmtId="3" fontId="2" fillId="4" borderId="51" xfId="0" applyNumberFormat="1" applyFont="1" applyFill="1" applyBorder="1" applyAlignment="1">
      <alignment vertical="center"/>
    </xf>
    <xf numFmtId="3" fontId="2" fillId="4" borderId="0" xfId="0" applyNumberFormat="1" applyFont="1" applyFill="1" applyBorder="1" applyAlignment="1" applyProtection="1">
      <alignment vertical="center"/>
      <protection hidden="1"/>
    </xf>
    <xf numFmtId="0" fontId="13" fillId="2" borderId="10" xfId="0" applyFont="1" applyFill="1" applyBorder="1" applyAlignment="1" applyProtection="1">
      <alignment horizontal="left" vertical="center"/>
      <protection locked="0"/>
    </xf>
    <xf numFmtId="0" fontId="0" fillId="0" borderId="3" xfId="0" applyFont="1" applyFill="1" applyBorder="1" applyAlignment="1" applyProtection="1">
      <alignment horizontal="right" vertical="center"/>
      <protection locked="0"/>
    </xf>
    <xf numFmtId="43" fontId="0" fillId="2" borderId="15" xfId="1" applyFont="1" applyFill="1" applyBorder="1" applyAlignment="1" applyProtection="1">
      <alignment horizontal="right" vertical="center"/>
      <protection locked="0"/>
    </xf>
    <xf numFmtId="3" fontId="4" fillId="0" borderId="0" xfId="0" applyNumberFormat="1" applyFont="1" applyAlignment="1">
      <alignment vertical="center"/>
    </xf>
    <xf numFmtId="0" fontId="9" fillId="6" borderId="2" xfId="0" applyFont="1" applyFill="1" applyBorder="1" applyAlignment="1">
      <alignment horizontal="right" vertical="center"/>
    </xf>
    <xf numFmtId="3" fontId="11" fillId="6" borderId="11" xfId="0" applyNumberFormat="1" applyFont="1" applyFill="1" applyBorder="1" applyAlignment="1">
      <alignment vertical="center"/>
    </xf>
    <xf numFmtId="3" fontId="0" fillId="6" borderId="2" xfId="0" applyNumberFormat="1" applyFont="1" applyFill="1" applyBorder="1" applyAlignment="1">
      <alignment horizontal="center" vertical="center"/>
    </xf>
    <xf numFmtId="3" fontId="4" fillId="2" borderId="2" xfId="0" applyNumberFormat="1" applyFont="1" applyFill="1" applyBorder="1" applyAlignment="1" applyProtection="1">
      <alignment horizontal="center" vertical="center"/>
      <protection locked="0"/>
    </xf>
    <xf numFmtId="0" fontId="2" fillId="7" borderId="2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vertical="center"/>
    </xf>
    <xf numFmtId="43" fontId="6" fillId="7" borderId="11" xfId="1" applyFont="1" applyFill="1" applyBorder="1" applyAlignment="1" applyProtection="1">
      <alignment horizontal="right" vertical="center"/>
      <protection hidden="1"/>
    </xf>
    <xf numFmtId="0" fontId="6" fillId="7" borderId="11" xfId="0" applyFont="1" applyFill="1" applyBorder="1" applyAlignment="1" applyProtection="1">
      <alignment vertical="center"/>
      <protection hidden="1"/>
    </xf>
    <xf numFmtId="164" fontId="14" fillId="7" borderId="23" xfId="0" applyNumberFormat="1" applyFont="1" applyFill="1" applyBorder="1" applyAlignment="1" applyProtection="1">
      <alignment horizontal="center" vertical="center"/>
      <protection locked="0"/>
    </xf>
    <xf numFmtId="0" fontId="2" fillId="7" borderId="2" xfId="0" applyFont="1" applyFill="1" applyBorder="1" applyAlignment="1" applyProtection="1">
      <alignment horizontal="left" vertical="center"/>
      <protection locked="0"/>
    </xf>
    <xf numFmtId="4" fontId="5" fillId="5" borderId="24" xfId="0" applyNumberFormat="1" applyFont="1" applyFill="1" applyBorder="1" applyAlignment="1" applyProtection="1">
      <alignment horizontal="center" vertical="center"/>
      <protection hidden="1"/>
    </xf>
    <xf numFmtId="4" fontId="5" fillId="5" borderId="25" xfId="0" applyNumberFormat="1" applyFont="1" applyFill="1" applyBorder="1" applyAlignment="1" applyProtection="1">
      <alignment horizontal="center" vertical="center"/>
      <protection hidden="1"/>
    </xf>
    <xf numFmtId="3" fontId="6" fillId="5" borderId="6" xfId="0" applyNumberFormat="1" applyFont="1" applyFill="1" applyBorder="1" applyAlignment="1" applyProtection="1">
      <alignment horizontal="right" vertical="center"/>
      <protection hidden="1"/>
    </xf>
    <xf numFmtId="3" fontId="6" fillId="5" borderId="22" xfId="0" applyNumberFormat="1" applyFont="1" applyFill="1" applyBorder="1" applyAlignment="1" applyProtection="1">
      <alignment horizontal="right" vertical="center"/>
      <protection hidden="1"/>
    </xf>
    <xf numFmtId="3" fontId="5" fillId="5" borderId="26" xfId="0" applyNumberFormat="1" applyFont="1" applyFill="1" applyBorder="1" applyAlignment="1" applyProtection="1">
      <alignment horizontal="center" vertical="center"/>
      <protection hidden="1"/>
    </xf>
    <xf numFmtId="3" fontId="5" fillId="5" borderId="27" xfId="0" applyNumberFormat="1" applyFont="1" applyFill="1" applyBorder="1" applyAlignment="1" applyProtection="1">
      <alignment horizontal="center" vertical="center"/>
      <protection hidden="1"/>
    </xf>
    <xf numFmtId="3" fontId="6" fillId="5" borderId="28" xfId="0" applyNumberFormat="1" applyFont="1" applyFill="1" applyBorder="1" applyAlignment="1" applyProtection="1">
      <alignment vertical="center"/>
      <protection hidden="1"/>
    </xf>
    <xf numFmtId="3" fontId="6" fillId="5" borderId="2" xfId="0" applyNumberFormat="1" applyFont="1" applyFill="1" applyBorder="1" applyAlignment="1" applyProtection="1">
      <alignment vertical="center"/>
      <protection hidden="1"/>
    </xf>
    <xf numFmtId="3" fontId="6" fillId="5" borderId="29" xfId="0" applyNumberFormat="1" applyFont="1" applyFill="1" applyBorder="1" applyAlignment="1" applyProtection="1">
      <alignment vertical="center"/>
      <protection hidden="1"/>
    </xf>
    <xf numFmtId="4" fontId="5" fillId="8" borderId="23" xfId="0" applyNumberFormat="1" applyFont="1" applyFill="1" applyBorder="1" applyAlignment="1" applyProtection="1">
      <alignment horizontal="center" vertical="center"/>
      <protection hidden="1"/>
    </xf>
    <xf numFmtId="3" fontId="2" fillId="8" borderId="30" xfId="0" applyNumberFormat="1" applyFont="1" applyFill="1" applyBorder="1" applyAlignment="1" applyProtection="1">
      <alignment horizontal="right" vertical="center"/>
      <protection hidden="1"/>
    </xf>
    <xf numFmtId="43" fontId="14" fillId="5" borderId="31" xfId="1" applyFont="1" applyFill="1" applyBorder="1" applyAlignment="1" applyProtection="1">
      <alignment horizontal="center" vertical="center"/>
      <protection locked="0"/>
    </xf>
    <xf numFmtId="43" fontId="14" fillId="5" borderId="32" xfId="1" applyFont="1" applyFill="1" applyBorder="1" applyAlignment="1" applyProtection="1">
      <alignment horizontal="center" vertical="center"/>
      <protection locked="0"/>
    </xf>
    <xf numFmtId="164" fontId="14" fillId="5" borderId="33" xfId="0" applyNumberFormat="1" applyFont="1" applyFill="1" applyBorder="1" applyAlignment="1" applyProtection="1">
      <alignment horizontal="center" vertical="center"/>
      <protection locked="0"/>
    </xf>
    <xf numFmtId="3" fontId="2" fillId="5" borderId="27" xfId="0" applyNumberFormat="1" applyFont="1" applyFill="1" applyBorder="1" applyAlignment="1" applyProtection="1">
      <alignment horizontal="right" vertical="center"/>
      <protection hidden="1"/>
    </xf>
    <xf numFmtId="3" fontId="2" fillId="5" borderId="25" xfId="0" applyNumberFormat="1" applyFont="1" applyFill="1" applyBorder="1" applyAlignment="1" applyProtection="1">
      <alignment horizontal="right" vertical="center"/>
      <protection hidden="1"/>
    </xf>
    <xf numFmtId="3" fontId="2" fillId="5" borderId="31" xfId="0" applyNumberFormat="1" applyFont="1" applyFill="1" applyBorder="1" applyAlignment="1" applyProtection="1">
      <alignment vertical="center"/>
      <protection hidden="1"/>
    </xf>
    <xf numFmtId="3" fontId="2" fillId="5" borderId="27" xfId="0" applyNumberFormat="1" applyFont="1" applyFill="1" applyBorder="1" applyAlignment="1" applyProtection="1">
      <alignment vertical="center"/>
      <protection hidden="1"/>
    </xf>
    <xf numFmtId="3" fontId="2" fillId="5" borderId="24" xfId="0" applyNumberFormat="1" applyFont="1" applyFill="1" applyBorder="1" applyAlignment="1" applyProtection="1">
      <alignment vertical="center"/>
      <protection hidden="1"/>
    </xf>
    <xf numFmtId="3" fontId="2" fillId="8" borderId="23" xfId="0" applyNumberFormat="1" applyFont="1" applyFill="1" applyBorder="1" applyAlignment="1" applyProtection="1">
      <alignment horizontal="right" vertical="center"/>
      <protection hidden="1"/>
    </xf>
    <xf numFmtId="4" fontId="2" fillId="8" borderId="2" xfId="0" applyNumberFormat="1" applyFont="1" applyFill="1" applyBorder="1" applyAlignment="1" applyProtection="1">
      <alignment horizontal="center" vertical="center"/>
      <protection hidden="1"/>
    </xf>
    <xf numFmtId="3" fontId="2" fillId="8" borderId="2" xfId="0" applyNumberFormat="1" applyFont="1" applyFill="1" applyBorder="1" applyAlignment="1" applyProtection="1">
      <alignment horizontal="center" vertical="center"/>
      <protection hidden="1"/>
    </xf>
    <xf numFmtId="43" fontId="2" fillId="5" borderId="2" xfId="1" applyFont="1" applyFill="1" applyBorder="1" applyAlignment="1" applyProtection="1">
      <alignment horizontal="right" vertical="center"/>
      <protection hidden="1"/>
    </xf>
    <xf numFmtId="0" fontId="2" fillId="5" borderId="2" xfId="0" applyFont="1" applyFill="1" applyBorder="1" applyAlignment="1" applyProtection="1">
      <alignment horizontal="center" vertical="center"/>
      <protection hidden="1"/>
    </xf>
    <xf numFmtId="0" fontId="2" fillId="5" borderId="4" xfId="0" applyFont="1" applyFill="1" applyBorder="1" applyAlignment="1" applyProtection="1">
      <alignment horizontal="center" vertical="center"/>
      <protection locked="0"/>
    </xf>
    <xf numFmtId="4" fontId="2" fillId="5" borderId="2" xfId="0" applyNumberFormat="1" applyFont="1" applyFill="1" applyBorder="1" applyAlignment="1" applyProtection="1">
      <alignment horizontal="center" vertical="center"/>
      <protection hidden="1"/>
    </xf>
    <xf numFmtId="3" fontId="2" fillId="5" borderId="2" xfId="0" applyNumberFormat="1" applyFont="1" applyFill="1" applyBorder="1" applyAlignment="1" applyProtection="1">
      <alignment horizontal="center" vertical="center"/>
      <protection hidden="1"/>
    </xf>
    <xf numFmtId="3" fontId="2" fillId="5" borderId="34" xfId="0" applyNumberFormat="1" applyFont="1" applyFill="1" applyBorder="1" applyAlignment="1" applyProtection="1">
      <alignment horizontal="right" vertical="center"/>
      <protection hidden="1"/>
    </xf>
    <xf numFmtId="3" fontId="2" fillId="5" borderId="4" xfId="0" applyNumberFormat="1" applyFont="1" applyFill="1" applyBorder="1" applyAlignment="1" applyProtection="1">
      <alignment vertical="center"/>
      <protection hidden="1"/>
    </xf>
    <xf numFmtId="3" fontId="2" fillId="5" borderId="2" xfId="0" applyNumberFormat="1" applyFont="1" applyFill="1" applyBorder="1" applyAlignment="1" applyProtection="1">
      <alignment vertical="center"/>
      <protection hidden="1"/>
    </xf>
    <xf numFmtId="3" fontId="2" fillId="5" borderId="6" xfId="0" applyNumberFormat="1" applyFont="1" applyFill="1" applyBorder="1" applyAlignment="1" applyProtection="1">
      <alignment vertical="center"/>
      <protection hidden="1"/>
    </xf>
    <xf numFmtId="3" fontId="2" fillId="8" borderId="34" xfId="0" applyNumberFormat="1" applyFont="1" applyFill="1" applyBorder="1" applyAlignment="1" applyProtection="1">
      <alignment horizontal="right" vertical="center"/>
      <protection hidden="1"/>
    </xf>
    <xf numFmtId="3" fontId="2" fillId="8" borderId="2" xfId="0" applyNumberFormat="1" applyFont="1" applyFill="1" applyBorder="1" applyAlignment="1" applyProtection="1">
      <alignment vertical="center"/>
      <protection hidden="1"/>
    </xf>
    <xf numFmtId="0" fontId="2" fillId="9" borderId="2" xfId="0" applyFont="1" applyFill="1" applyBorder="1" applyAlignment="1">
      <alignment horizontal="center" vertical="center"/>
    </xf>
    <xf numFmtId="0" fontId="2" fillId="5" borderId="4" xfId="0" applyFont="1" applyFill="1" applyBorder="1" applyAlignment="1" applyProtection="1">
      <alignment horizontal="center" vertical="center"/>
      <protection locked="0"/>
    </xf>
    <xf numFmtId="43" fontId="0" fillId="10" borderId="2" xfId="0" applyNumberFormat="1" applyFill="1" applyBorder="1" applyAlignment="1" applyProtection="1">
      <alignment horizontal="right" vertical="center"/>
      <protection locked="0"/>
    </xf>
    <xf numFmtId="43" fontId="0" fillId="10" borderId="3" xfId="0" applyNumberFormat="1" applyFill="1" applyBorder="1" applyAlignment="1" applyProtection="1">
      <alignment horizontal="right" vertical="center"/>
      <protection locked="0"/>
    </xf>
    <xf numFmtId="2" fontId="0" fillId="10" borderId="3" xfId="0" applyNumberFormat="1" applyFill="1" applyBorder="1" applyAlignment="1" applyProtection="1">
      <alignment horizontal="right" vertical="center"/>
      <protection locked="0"/>
    </xf>
    <xf numFmtId="1" fontId="0" fillId="10" borderId="3" xfId="0" applyNumberFormat="1" applyFill="1" applyBorder="1" applyAlignment="1" applyProtection="1">
      <alignment horizontal="right" vertical="center"/>
      <protection locked="0"/>
    </xf>
    <xf numFmtId="3" fontId="4" fillId="2" borderId="50" xfId="0" applyNumberFormat="1" applyFont="1" applyFill="1" applyBorder="1" applyAlignment="1">
      <alignment vertical="center"/>
    </xf>
    <xf numFmtId="3" fontId="4" fillId="2" borderId="51" xfId="0" applyNumberFormat="1" applyFont="1" applyFill="1" applyBorder="1" applyAlignment="1">
      <alignment vertical="center"/>
    </xf>
    <xf numFmtId="3" fontId="10" fillId="10" borderId="0" xfId="0" applyNumberFormat="1" applyFont="1" applyFill="1" applyBorder="1" applyAlignment="1" applyProtection="1">
      <alignment horizontal="center" vertical="center"/>
      <protection locked="0"/>
    </xf>
    <xf numFmtId="3" fontId="0" fillId="2" borderId="50" xfId="0" applyNumberFormat="1" applyFont="1" applyFill="1" applyBorder="1" applyAlignment="1">
      <alignment vertical="center"/>
    </xf>
    <xf numFmtId="3" fontId="0" fillId="2" borderId="51" xfId="0" applyNumberFormat="1" applyFont="1" applyFill="1" applyBorder="1" applyAlignment="1">
      <alignment vertical="center"/>
    </xf>
    <xf numFmtId="0" fontId="17" fillId="2" borderId="0" xfId="0" applyFont="1" applyFill="1" applyBorder="1" applyAlignment="1">
      <alignment horizontal="center" vertical="center"/>
    </xf>
    <xf numFmtId="3" fontId="2" fillId="2" borderId="50" xfId="0" applyNumberFormat="1" applyFont="1" applyFill="1" applyBorder="1" applyAlignment="1">
      <alignment vertical="center"/>
    </xf>
    <xf numFmtId="3" fontId="10" fillId="4" borderId="0" xfId="0" applyNumberFormat="1" applyFont="1" applyFill="1" applyBorder="1" applyAlignment="1">
      <alignment horizontal="center" vertical="center"/>
    </xf>
    <xf numFmtId="3" fontId="2" fillId="2" borderId="51" xfId="0" applyNumberFormat="1" applyFont="1" applyFill="1" applyBorder="1" applyAlignment="1">
      <alignment vertical="center"/>
    </xf>
    <xf numFmtId="3" fontId="2" fillId="5" borderId="13" xfId="0" applyNumberFormat="1" applyFont="1" applyFill="1" applyBorder="1" applyAlignment="1" applyProtection="1">
      <alignment vertical="center"/>
      <protection hidden="1"/>
    </xf>
    <xf numFmtId="3" fontId="2" fillId="5" borderId="8" xfId="0" applyNumberFormat="1" applyFont="1" applyFill="1" applyBorder="1" applyAlignment="1" applyProtection="1">
      <alignment vertical="center"/>
      <protection hidden="1"/>
    </xf>
    <xf numFmtId="3" fontId="2" fillId="8" borderId="1" xfId="0" applyNumberFormat="1" applyFont="1" applyFill="1" applyBorder="1" applyAlignment="1" applyProtection="1">
      <alignment vertical="center"/>
      <protection hidden="1"/>
    </xf>
    <xf numFmtId="0" fontId="4" fillId="2" borderId="50" xfId="0" applyFont="1" applyFill="1" applyBorder="1" applyAlignment="1">
      <alignment vertical="center"/>
    </xf>
    <xf numFmtId="0" fontId="4" fillId="2" borderId="51" xfId="0" applyFont="1" applyFill="1" applyBorder="1" applyAlignment="1">
      <alignment vertical="center"/>
    </xf>
    <xf numFmtId="3" fontId="4" fillId="2" borderId="4" xfId="0" applyNumberFormat="1" applyFont="1" applyFill="1" applyBorder="1" applyAlignment="1" applyProtection="1">
      <alignment vertical="center"/>
      <protection locked="0"/>
    </xf>
    <xf numFmtId="0" fontId="3" fillId="2" borderId="0" xfId="0" applyFont="1" applyFill="1" applyBorder="1" applyAlignment="1" applyProtection="1">
      <alignment horizontal="left" vertical="center"/>
      <protection locked="0"/>
    </xf>
    <xf numFmtId="1" fontId="0" fillId="2" borderId="0" xfId="1" applyNumberFormat="1" applyFont="1" applyFill="1" applyBorder="1" applyAlignment="1" applyProtection="1">
      <alignment horizontal="right" vertical="center"/>
      <protection locked="0"/>
    </xf>
    <xf numFmtId="3" fontId="2" fillId="8" borderId="3" xfId="0" applyNumberFormat="1" applyFont="1" applyFill="1" applyBorder="1" applyAlignment="1" applyProtection="1">
      <alignment horizontal="right" vertical="center"/>
      <protection hidden="1"/>
    </xf>
    <xf numFmtId="3" fontId="2" fillId="5" borderId="3" xfId="0" applyNumberFormat="1" applyFont="1" applyFill="1" applyBorder="1" applyAlignment="1" applyProtection="1">
      <alignment horizontal="right" vertical="center"/>
      <protection hidden="1"/>
    </xf>
    <xf numFmtId="168" fontId="0" fillId="2" borderId="2" xfId="1" applyNumberFormat="1" applyFont="1" applyFill="1" applyBorder="1" applyAlignment="1" applyProtection="1">
      <alignment horizontal="right" vertical="center"/>
      <protection locked="0"/>
    </xf>
    <xf numFmtId="0" fontId="0" fillId="2" borderId="50" xfId="0" applyFont="1" applyFill="1" applyBorder="1" applyAlignment="1">
      <alignment vertical="center"/>
    </xf>
    <xf numFmtId="0" fontId="0" fillId="2" borderId="51" xfId="0" applyFont="1" applyFill="1" applyBorder="1" applyAlignment="1">
      <alignment vertical="center"/>
    </xf>
    <xf numFmtId="3" fontId="0" fillId="2" borderId="0" xfId="0" applyNumberFormat="1" applyFont="1" applyFill="1" applyBorder="1" applyAlignment="1">
      <alignment vertical="center"/>
    </xf>
    <xf numFmtId="0" fontId="0" fillId="2" borderId="1" xfId="0" applyFont="1" applyFill="1" applyBorder="1" applyAlignment="1" applyProtection="1">
      <alignment horizontal="left" vertical="center"/>
      <protection locked="0"/>
    </xf>
    <xf numFmtId="2" fontId="4" fillId="0" borderId="10" xfId="0" applyNumberFormat="1" applyFont="1" applyFill="1" applyBorder="1" applyAlignment="1" applyProtection="1">
      <alignment vertical="center"/>
      <protection locked="0"/>
    </xf>
    <xf numFmtId="3" fontId="4" fillId="2" borderId="10" xfId="0" applyNumberFormat="1" applyFont="1" applyFill="1" applyBorder="1" applyAlignment="1">
      <alignment vertical="center"/>
    </xf>
    <xf numFmtId="3" fontId="0" fillId="2" borderId="10" xfId="0" applyNumberFormat="1" applyFont="1" applyFill="1" applyBorder="1" applyAlignment="1">
      <alignment vertical="center"/>
    </xf>
    <xf numFmtId="0" fontId="0" fillId="2" borderId="2" xfId="0" applyFont="1" applyFill="1" applyBorder="1" applyAlignment="1" applyProtection="1">
      <alignment horizontal="right" vertical="center"/>
      <protection locked="0"/>
    </xf>
    <xf numFmtId="4" fontId="0" fillId="2" borderId="10" xfId="0" applyNumberFormat="1" applyFont="1" applyFill="1" applyBorder="1" applyAlignment="1" applyProtection="1">
      <alignment horizontal="right" vertical="center"/>
      <protection locked="0"/>
    </xf>
    <xf numFmtId="3" fontId="2" fillId="0" borderId="16" xfId="0" applyNumberFormat="1" applyFont="1" applyFill="1" applyBorder="1" applyAlignment="1" applyProtection="1">
      <alignment horizontal="right" vertical="center"/>
      <protection hidden="1"/>
    </xf>
    <xf numFmtId="3" fontId="0" fillId="2" borderId="10" xfId="0" applyNumberFormat="1" applyFont="1" applyFill="1" applyBorder="1" applyAlignment="1" applyProtection="1">
      <alignment vertical="center"/>
      <protection locked="0"/>
    </xf>
    <xf numFmtId="3" fontId="3" fillId="2" borderId="2" xfId="0" applyNumberFormat="1" applyFont="1" applyFill="1" applyBorder="1" applyAlignment="1">
      <alignment vertical="center"/>
    </xf>
    <xf numFmtId="3" fontId="2" fillId="8" borderId="2" xfId="0" applyNumberFormat="1" applyFont="1" applyFill="1" applyBorder="1" applyAlignment="1" applyProtection="1">
      <alignment horizontal="right" vertical="center"/>
      <protection hidden="1"/>
    </xf>
    <xf numFmtId="3" fontId="2" fillId="5" borderId="2" xfId="0" applyNumberFormat="1" applyFont="1" applyFill="1" applyBorder="1" applyAlignment="1" applyProtection="1">
      <alignment horizontal="right" vertical="center"/>
      <protection hidden="1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0" fillId="2" borderId="3" xfId="0" applyFont="1" applyFill="1" applyBorder="1" applyAlignment="1" applyProtection="1">
      <alignment horizontal="left" vertical="center"/>
      <protection locked="0"/>
    </xf>
    <xf numFmtId="0" fontId="3" fillId="2" borderId="3" xfId="0" applyFont="1" applyFill="1" applyBorder="1" applyAlignment="1" applyProtection="1">
      <alignment horizontal="left" vertical="center"/>
      <protection locked="0"/>
    </xf>
    <xf numFmtId="0" fontId="20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 applyProtection="1">
      <alignment horizontal="right" vertical="center"/>
      <protection hidden="1"/>
    </xf>
    <xf numFmtId="3" fontId="2" fillId="0" borderId="51" xfId="0" applyNumberFormat="1" applyFont="1" applyFill="1" applyBorder="1" applyAlignment="1">
      <alignment vertical="center"/>
    </xf>
    <xf numFmtId="3" fontId="2" fillId="0" borderId="0" xfId="0" applyNumberFormat="1" applyFont="1" applyFill="1" applyBorder="1" applyAlignment="1" applyProtection="1">
      <alignment vertical="center"/>
      <protection hidden="1"/>
    </xf>
    <xf numFmtId="0" fontId="10" fillId="4" borderId="1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3" fontId="2" fillId="0" borderId="0" xfId="0" applyNumberFormat="1" applyFont="1" applyFill="1" applyBorder="1" applyAlignment="1">
      <alignment vertical="center"/>
    </xf>
    <xf numFmtId="0" fontId="10" fillId="0" borderId="12" xfId="0" applyFont="1" applyFill="1" applyBorder="1" applyAlignment="1">
      <alignment horizontal="center" vertical="center"/>
    </xf>
    <xf numFmtId="3" fontId="3" fillId="2" borderId="0" xfId="0" applyNumberFormat="1" applyFont="1" applyFill="1" applyBorder="1" applyAlignment="1" applyProtection="1">
      <alignment vertical="center"/>
      <protection locked="0"/>
    </xf>
    <xf numFmtId="9" fontId="0" fillId="2" borderId="2" xfId="1" applyNumberFormat="1" applyFont="1" applyFill="1" applyBorder="1" applyAlignment="1" applyProtection="1">
      <alignment horizontal="right" vertical="center"/>
      <protection locked="0"/>
    </xf>
    <xf numFmtId="0" fontId="4" fillId="5" borderId="51" xfId="0" applyFont="1" applyFill="1" applyBorder="1" applyAlignment="1">
      <alignment vertical="center"/>
    </xf>
    <xf numFmtId="3" fontId="2" fillId="4" borderId="0" xfId="0" applyNumberFormat="1" applyFont="1" applyFill="1" applyBorder="1" applyAlignment="1">
      <alignment vertical="center"/>
    </xf>
    <xf numFmtId="0" fontId="10" fillId="4" borderId="16" xfId="0" applyFont="1" applyFill="1" applyBorder="1" applyAlignment="1">
      <alignment horizontal="center" vertical="center"/>
    </xf>
    <xf numFmtId="0" fontId="20" fillId="4" borderId="0" xfId="0" applyFont="1" applyFill="1" applyBorder="1" applyAlignment="1">
      <alignment vertical="center"/>
    </xf>
    <xf numFmtId="0" fontId="6" fillId="4" borderId="0" xfId="0" applyFont="1" applyFill="1" applyBorder="1" applyAlignment="1">
      <alignment horizontal="right" vertical="center"/>
    </xf>
    <xf numFmtId="0" fontId="0" fillId="2" borderId="53" xfId="0" applyFont="1" applyFill="1" applyBorder="1" applyAlignment="1" applyProtection="1">
      <alignment vertical="center"/>
      <protection locked="0"/>
    </xf>
    <xf numFmtId="10" fontId="0" fillId="2" borderId="2" xfId="1" applyNumberFormat="1" applyFont="1" applyFill="1" applyBorder="1" applyAlignment="1" applyProtection="1">
      <alignment horizontal="right" vertical="center"/>
      <protection locked="0"/>
    </xf>
    <xf numFmtId="0" fontId="3" fillId="0" borderId="10" xfId="0" applyFont="1" applyFill="1" applyBorder="1" applyAlignment="1" applyProtection="1">
      <alignment horizontal="left" vertical="center"/>
      <protection locked="0"/>
    </xf>
    <xf numFmtId="0" fontId="4" fillId="2" borderId="50" xfId="0" applyFont="1" applyFill="1" applyBorder="1" applyAlignment="1">
      <alignment vertical="center"/>
    </xf>
    <xf numFmtId="0" fontId="4" fillId="2" borderId="51" xfId="0" applyFont="1" applyFill="1" applyBorder="1" applyAlignment="1">
      <alignment vertical="center"/>
    </xf>
    <xf numFmtId="1" fontId="0" fillId="2" borderId="14" xfId="1" applyNumberFormat="1" applyFont="1" applyFill="1" applyBorder="1" applyAlignment="1" applyProtection="1">
      <alignment horizontal="right" vertical="center"/>
      <protection locked="0"/>
    </xf>
    <xf numFmtId="3" fontId="4" fillId="2" borderId="12" xfId="1" applyNumberFormat="1" applyFont="1" applyFill="1" applyBorder="1" applyAlignment="1" applyProtection="1">
      <alignment horizontal="right" vertical="center"/>
      <protection locked="0"/>
    </xf>
    <xf numFmtId="1" fontId="0" fillId="2" borderId="15" xfId="1" applyNumberFormat="1" applyFont="1" applyFill="1" applyBorder="1" applyAlignment="1" applyProtection="1">
      <alignment horizontal="right" vertical="center"/>
      <protection locked="0"/>
    </xf>
    <xf numFmtId="3" fontId="4" fillId="2" borderId="16" xfId="1" applyNumberFormat="1" applyFont="1" applyFill="1" applyBorder="1" applyAlignment="1" applyProtection="1">
      <alignment horizontal="right" vertical="center"/>
      <protection locked="0"/>
    </xf>
    <xf numFmtId="1" fontId="4" fillId="2" borderId="2" xfId="0" applyNumberFormat="1" applyFont="1" applyFill="1" applyBorder="1" applyAlignment="1" applyProtection="1">
      <alignment vertical="center"/>
      <protection locked="0"/>
    </xf>
    <xf numFmtId="0" fontId="2" fillId="5" borderId="4" xfId="0" applyFont="1" applyFill="1" applyBorder="1" applyAlignment="1" applyProtection="1">
      <alignment horizontal="center" vertical="center"/>
      <protection locked="0"/>
    </xf>
    <xf numFmtId="0" fontId="3" fillId="0" borderId="14" xfId="0" applyFont="1" applyFill="1" applyBorder="1" applyAlignment="1" applyProtection="1">
      <alignment horizontal="left" vertical="center"/>
      <protection locked="0"/>
    </xf>
    <xf numFmtId="0" fontId="0" fillId="2" borderId="50" xfId="0" applyFont="1" applyFill="1" applyBorder="1" applyAlignment="1">
      <alignment vertical="center"/>
    </xf>
    <xf numFmtId="4" fontId="0" fillId="2" borderId="1" xfId="0" applyNumberFormat="1" applyFont="1" applyFill="1" applyBorder="1" applyAlignment="1" applyProtection="1">
      <alignment vertical="center"/>
      <protection locked="0"/>
    </xf>
    <xf numFmtId="0" fontId="0" fillId="2" borderId="51" xfId="0" applyFont="1" applyFill="1" applyBorder="1" applyAlignment="1">
      <alignment vertical="center"/>
    </xf>
    <xf numFmtId="0" fontId="13" fillId="11" borderId="10" xfId="0" applyFont="1" applyFill="1" applyBorder="1" applyAlignment="1" applyProtection="1">
      <alignment horizontal="left" vertical="center"/>
      <protection locked="0"/>
    </xf>
    <xf numFmtId="3" fontId="0" fillId="2" borderId="50" xfId="0" applyNumberFormat="1" applyFont="1" applyFill="1" applyBorder="1" applyAlignment="1">
      <alignment vertical="center"/>
    </xf>
    <xf numFmtId="3" fontId="0" fillId="2" borderId="51" xfId="0" applyNumberFormat="1" applyFont="1" applyFill="1" applyBorder="1" applyAlignment="1">
      <alignment vertical="center"/>
    </xf>
    <xf numFmtId="0" fontId="0" fillId="5" borderId="0" xfId="0" applyFont="1" applyFill="1" applyAlignment="1">
      <alignment vertical="center"/>
    </xf>
    <xf numFmtId="3" fontId="2" fillId="2" borderId="50" xfId="0" applyNumberFormat="1" applyFont="1" applyFill="1" applyBorder="1" applyAlignment="1">
      <alignment vertical="center"/>
    </xf>
    <xf numFmtId="3" fontId="2" fillId="2" borderId="51" xfId="0" applyNumberFormat="1" applyFont="1" applyFill="1" applyBorder="1" applyAlignment="1">
      <alignment vertical="center"/>
    </xf>
    <xf numFmtId="0" fontId="2" fillId="4" borderId="16" xfId="0" applyFont="1" applyFill="1" applyBorder="1" applyAlignment="1" applyProtection="1">
      <alignment horizontal="center" vertical="center"/>
      <protection locked="0"/>
    </xf>
    <xf numFmtId="3" fontId="2" fillId="4" borderId="16" xfId="0" applyNumberFormat="1" applyFont="1" applyFill="1" applyBorder="1" applyAlignment="1" applyProtection="1">
      <alignment horizontal="right" vertical="center"/>
      <protection hidden="1"/>
    </xf>
    <xf numFmtId="0" fontId="0" fillId="5" borderId="0" xfId="0" applyFont="1" applyFill="1" applyAlignment="1">
      <alignment vertical="center"/>
    </xf>
    <xf numFmtId="0" fontId="0" fillId="4" borderId="1" xfId="0" applyFont="1" applyFill="1" applyBorder="1" applyAlignment="1">
      <alignment horizontal="left" vertical="center"/>
    </xf>
    <xf numFmtId="0" fontId="0" fillId="4" borderId="3" xfId="0" applyFont="1" applyFill="1" applyBorder="1" applyAlignment="1">
      <alignment horizontal="right" vertical="center"/>
    </xf>
    <xf numFmtId="0" fontId="2" fillId="5" borderId="0" xfId="0" applyFont="1" applyFill="1" applyAlignment="1">
      <alignment vertical="center"/>
    </xf>
    <xf numFmtId="3" fontId="2" fillId="5" borderId="34" xfId="0" applyNumberFormat="1" applyFont="1" applyFill="1" applyBorder="1" applyAlignment="1" applyProtection="1">
      <alignment horizontal="right" vertical="center"/>
      <protection hidden="1"/>
    </xf>
    <xf numFmtId="3" fontId="2" fillId="5" borderId="4" xfId="0" applyNumberFormat="1" applyFont="1" applyFill="1" applyBorder="1" applyAlignment="1" applyProtection="1">
      <alignment vertical="center"/>
      <protection hidden="1"/>
    </xf>
    <xf numFmtId="3" fontId="2" fillId="5" borderId="2" xfId="0" applyNumberFormat="1" applyFont="1" applyFill="1" applyBorder="1" applyAlignment="1" applyProtection="1">
      <alignment vertical="center"/>
      <protection hidden="1"/>
    </xf>
    <xf numFmtId="3" fontId="2" fillId="5" borderId="6" xfId="0" applyNumberFormat="1" applyFont="1" applyFill="1" applyBorder="1" applyAlignment="1" applyProtection="1">
      <alignment vertical="center"/>
      <protection hidden="1"/>
    </xf>
    <xf numFmtId="0" fontId="4" fillId="5" borderId="0" xfId="0" applyFont="1" applyFill="1" applyAlignment="1">
      <alignment vertical="center"/>
    </xf>
    <xf numFmtId="43" fontId="2" fillId="5" borderId="2" xfId="1" applyFont="1" applyFill="1" applyBorder="1" applyAlignment="1" applyProtection="1">
      <alignment horizontal="right" vertical="center"/>
      <protection hidden="1"/>
    </xf>
    <xf numFmtId="0" fontId="2" fillId="5" borderId="2" xfId="0" applyFont="1" applyFill="1" applyBorder="1" applyAlignment="1" applyProtection="1">
      <alignment horizontal="center" vertical="center"/>
      <protection hidden="1"/>
    </xf>
    <xf numFmtId="0" fontId="2" fillId="5" borderId="4" xfId="0" applyFont="1" applyFill="1" applyBorder="1" applyAlignment="1" applyProtection="1">
      <alignment horizontal="center" vertical="center"/>
      <protection locked="0"/>
    </xf>
    <xf numFmtId="4" fontId="2" fillId="5" borderId="2" xfId="0" applyNumberFormat="1" applyFont="1" applyFill="1" applyBorder="1" applyAlignment="1" applyProtection="1">
      <alignment horizontal="center" vertical="center"/>
      <protection hidden="1"/>
    </xf>
    <xf numFmtId="3" fontId="2" fillId="5" borderId="2" xfId="0" applyNumberFormat="1" applyFont="1" applyFill="1" applyBorder="1" applyAlignment="1" applyProtection="1">
      <alignment horizontal="center" vertical="center"/>
      <protection hidden="1"/>
    </xf>
    <xf numFmtId="0" fontId="0" fillId="2" borderId="4" xfId="0" applyFont="1" applyFill="1" applyBorder="1" applyAlignment="1" applyProtection="1">
      <alignment horizontal="left" vertical="center"/>
      <protection locked="0"/>
    </xf>
    <xf numFmtId="3" fontId="2" fillId="5" borderId="2" xfId="0" applyNumberFormat="1" applyFont="1" applyFill="1" applyBorder="1" applyAlignment="1" applyProtection="1">
      <alignment horizontal="right" vertical="center"/>
      <protection hidden="1"/>
    </xf>
    <xf numFmtId="3" fontId="2" fillId="2" borderId="50" xfId="0" applyNumberFormat="1" applyFont="1" applyFill="1" applyBorder="1" applyAlignment="1">
      <alignment vertical="center"/>
    </xf>
    <xf numFmtId="3" fontId="2" fillId="2" borderId="51" xfId="0" applyNumberFormat="1" applyFont="1" applyFill="1" applyBorder="1" applyAlignment="1">
      <alignment vertical="center"/>
    </xf>
    <xf numFmtId="0" fontId="10" fillId="4" borderId="11" xfId="0" applyFont="1" applyFill="1" applyBorder="1" applyAlignment="1">
      <alignment horizontal="center" vertical="center"/>
    </xf>
    <xf numFmtId="0" fontId="2" fillId="4" borderId="11" xfId="0" applyFont="1" applyFill="1" applyBorder="1" applyAlignment="1" applyProtection="1">
      <alignment horizontal="center" vertical="center"/>
      <protection locked="0"/>
    </xf>
    <xf numFmtId="3" fontId="2" fillId="4" borderId="11" xfId="0" applyNumberFormat="1" applyFont="1" applyFill="1" applyBorder="1" applyAlignment="1" applyProtection="1">
      <alignment horizontal="right" vertical="center"/>
      <protection hidden="1"/>
    </xf>
    <xf numFmtId="3" fontId="4" fillId="2" borderId="50" xfId="0" applyNumberFormat="1" applyFont="1" applyFill="1" applyBorder="1" applyAlignment="1">
      <alignment vertical="center"/>
    </xf>
    <xf numFmtId="3" fontId="4" fillId="2" borderId="51" xfId="0" applyNumberFormat="1" applyFont="1" applyFill="1" applyBorder="1" applyAlignment="1">
      <alignment vertical="center"/>
    </xf>
    <xf numFmtId="0" fontId="6" fillId="5" borderId="0" xfId="0" applyFont="1" applyFill="1" applyAlignment="1">
      <alignment vertical="center"/>
    </xf>
    <xf numFmtId="3" fontId="6" fillId="2" borderId="50" xfId="0" applyNumberFormat="1" applyFont="1" applyFill="1" applyBorder="1" applyAlignment="1">
      <alignment vertical="center"/>
    </xf>
    <xf numFmtId="3" fontId="6" fillId="2" borderId="51" xfId="0" applyNumberFormat="1" applyFont="1" applyFill="1" applyBorder="1" applyAlignment="1">
      <alignment vertical="center"/>
    </xf>
    <xf numFmtId="3" fontId="6" fillId="5" borderId="6" xfId="0" applyNumberFormat="1" applyFont="1" applyFill="1" applyBorder="1" applyAlignment="1" applyProtection="1">
      <alignment horizontal="right" vertical="center"/>
      <protection hidden="1"/>
    </xf>
    <xf numFmtId="3" fontId="6" fillId="5" borderId="22" xfId="0" applyNumberFormat="1" applyFont="1" applyFill="1" applyBorder="1" applyAlignment="1" applyProtection="1">
      <alignment horizontal="right" vertical="center"/>
      <protection hidden="1"/>
    </xf>
    <xf numFmtId="3" fontId="6" fillId="5" borderId="28" xfId="0" applyNumberFormat="1" applyFont="1" applyFill="1" applyBorder="1" applyAlignment="1" applyProtection="1">
      <alignment vertical="center"/>
      <protection hidden="1"/>
    </xf>
    <xf numFmtId="3" fontId="6" fillId="5" borderId="2" xfId="0" applyNumberFormat="1" applyFont="1" applyFill="1" applyBorder="1" applyAlignment="1" applyProtection="1">
      <alignment vertical="center"/>
      <protection hidden="1"/>
    </xf>
    <xf numFmtId="3" fontId="6" fillId="5" borderId="29" xfId="0" applyNumberFormat="1" applyFont="1" applyFill="1" applyBorder="1" applyAlignment="1" applyProtection="1">
      <alignment vertical="center"/>
      <protection hidden="1"/>
    </xf>
    <xf numFmtId="166" fontId="2" fillId="2" borderId="9" xfId="0" applyNumberFormat="1" applyFont="1" applyFill="1" applyBorder="1" applyAlignment="1">
      <alignment horizontal="center" vertical="center"/>
    </xf>
    <xf numFmtId="166" fontId="6" fillId="2" borderId="9" xfId="0" applyNumberFormat="1" applyFont="1" applyFill="1" applyBorder="1" applyAlignment="1">
      <alignment horizontal="center" vertical="center"/>
    </xf>
    <xf numFmtId="0" fontId="2" fillId="4" borderId="9" xfId="0" applyFont="1" applyFill="1" applyBorder="1" applyAlignment="1">
      <alignment vertical="center"/>
    </xf>
    <xf numFmtId="3" fontId="0" fillId="2" borderId="50" xfId="0" applyNumberFormat="1" applyFont="1" applyFill="1" applyBorder="1" applyAlignment="1">
      <alignment vertical="center"/>
    </xf>
    <xf numFmtId="3" fontId="0" fillId="2" borderId="51" xfId="0" applyNumberFormat="1" applyFont="1" applyFill="1" applyBorder="1" applyAlignment="1">
      <alignment vertical="center"/>
    </xf>
    <xf numFmtId="1" fontId="4" fillId="4" borderId="0" xfId="0" applyNumberFormat="1" applyFont="1" applyFill="1" applyBorder="1" applyAlignment="1" applyProtection="1">
      <alignment vertical="center"/>
      <protection locked="0"/>
    </xf>
    <xf numFmtId="3" fontId="4" fillId="4" borderId="1" xfId="0" applyNumberFormat="1" applyFont="1" applyFill="1" applyBorder="1" applyAlignment="1" applyProtection="1">
      <alignment vertical="center"/>
      <protection locked="0"/>
    </xf>
    <xf numFmtId="3" fontId="2" fillId="2" borderId="50" xfId="0" applyNumberFormat="1" applyFont="1" applyFill="1" applyBorder="1" applyAlignment="1">
      <alignment vertical="center"/>
    </xf>
    <xf numFmtId="0" fontId="10" fillId="4" borderId="0" xfId="0" applyFont="1" applyFill="1" applyBorder="1" applyAlignment="1">
      <alignment horizontal="center" vertical="center"/>
    </xf>
    <xf numFmtId="3" fontId="2" fillId="2" borderId="51" xfId="0" applyNumberFormat="1" applyFont="1" applyFill="1" applyBorder="1" applyAlignment="1">
      <alignment vertical="center"/>
    </xf>
    <xf numFmtId="3" fontId="4" fillId="2" borderId="50" xfId="0" applyNumberFormat="1" applyFont="1" applyFill="1" applyBorder="1" applyAlignment="1">
      <alignment vertical="center"/>
    </xf>
    <xf numFmtId="3" fontId="4" fillId="2" borderId="51" xfId="0" applyNumberFormat="1" applyFont="1" applyFill="1" applyBorder="1" applyAlignment="1">
      <alignment vertical="center"/>
    </xf>
    <xf numFmtId="0" fontId="4" fillId="5" borderId="0" xfId="0" applyFont="1" applyFill="1" applyAlignment="1">
      <alignment vertical="center"/>
    </xf>
    <xf numFmtId="0" fontId="0" fillId="0" borderId="3" xfId="0" applyFont="1" applyFill="1" applyBorder="1" applyAlignment="1" applyProtection="1">
      <alignment horizontal="left" vertical="center"/>
      <protection locked="0"/>
    </xf>
    <xf numFmtId="0" fontId="0" fillId="2" borderId="15" xfId="0" applyFont="1" applyFill="1" applyBorder="1" applyAlignment="1" applyProtection="1">
      <alignment horizontal="left" vertical="center"/>
      <protection locked="0"/>
    </xf>
    <xf numFmtId="0" fontId="0" fillId="5" borderId="0" xfId="0" applyFont="1" applyFill="1" applyAlignment="1">
      <alignment vertical="center"/>
    </xf>
    <xf numFmtId="3" fontId="0" fillId="10" borderId="2" xfId="0" applyNumberFormat="1" applyFill="1" applyBorder="1" applyAlignment="1">
      <alignment vertical="center"/>
    </xf>
    <xf numFmtId="3" fontId="0" fillId="10" borderId="6" xfId="0" applyNumberFormat="1" applyFill="1" applyBorder="1" applyAlignment="1">
      <alignment vertical="center"/>
    </xf>
    <xf numFmtId="43" fontId="4" fillId="4" borderId="16" xfId="1" applyFont="1" applyFill="1" applyBorder="1" applyAlignment="1" applyProtection="1">
      <alignment horizontal="right" vertical="center"/>
      <protection locked="0"/>
    </xf>
    <xf numFmtId="43" fontId="4" fillId="4" borderId="0" xfId="1" applyFont="1" applyFill="1" applyBorder="1" applyAlignment="1" applyProtection="1">
      <alignment horizontal="right" vertical="center"/>
      <protection locked="0"/>
    </xf>
    <xf numFmtId="0" fontId="0" fillId="0" borderId="1" xfId="0" applyFont="1" applyBorder="1" applyAlignment="1">
      <alignment vertical="center"/>
    </xf>
    <xf numFmtId="0" fontId="6" fillId="0" borderId="35" xfId="0" applyFont="1" applyBorder="1" applyAlignment="1">
      <alignment horizontal="center" vertical="center"/>
    </xf>
    <xf numFmtId="0" fontId="0" fillId="4" borderId="1" xfId="0" applyFont="1" applyFill="1" applyBorder="1" applyAlignment="1" applyProtection="1">
      <alignment horizontal="right" vertical="center"/>
      <protection locked="0"/>
    </xf>
    <xf numFmtId="0" fontId="3" fillId="4" borderId="4" xfId="0" applyFont="1" applyFill="1" applyBorder="1" applyAlignment="1" applyProtection="1">
      <alignment horizontal="left" vertical="center"/>
      <protection locked="0"/>
    </xf>
    <xf numFmtId="0" fontId="3" fillId="4" borderId="14" xfId="0" applyFont="1" applyFill="1" applyBorder="1" applyAlignment="1">
      <alignment horizontal="left" vertical="center"/>
    </xf>
    <xf numFmtId="0" fontId="3" fillId="4" borderId="1" xfId="0" applyFont="1" applyFill="1" applyBorder="1" applyAlignment="1" applyProtection="1">
      <alignment horizontal="left" vertical="center"/>
      <protection locked="0"/>
    </xf>
    <xf numFmtId="0" fontId="3" fillId="4" borderId="14" xfId="0" applyFont="1" applyFill="1" applyBorder="1" applyAlignment="1" applyProtection="1">
      <alignment horizontal="left" vertical="center"/>
      <protection locked="0"/>
    </xf>
    <xf numFmtId="4" fontId="4" fillId="4" borderId="2" xfId="0" applyNumberFormat="1" applyFont="1" applyFill="1" applyBorder="1" applyAlignment="1" applyProtection="1">
      <alignment horizontal="right" vertical="center"/>
      <protection locked="0"/>
    </xf>
    <xf numFmtId="4" fontId="11" fillId="2" borderId="2" xfId="0" applyNumberFormat="1" applyFont="1" applyFill="1" applyBorder="1" applyAlignment="1" applyProtection="1">
      <alignment vertical="center"/>
      <protection locked="0"/>
    </xf>
    <xf numFmtId="0" fontId="0" fillId="4" borderId="3" xfId="0" applyFont="1" applyFill="1" applyBorder="1" applyAlignment="1" applyProtection="1">
      <alignment horizontal="left" vertical="center"/>
      <protection locked="0"/>
    </xf>
    <xf numFmtId="0" fontId="3" fillId="4" borderId="2" xfId="0" applyFont="1" applyFill="1" applyBorder="1" applyAlignment="1" applyProtection="1">
      <alignment horizontal="left" vertical="center"/>
      <protection locked="0"/>
    </xf>
    <xf numFmtId="10" fontId="4" fillId="4" borderId="2" xfId="0" applyNumberFormat="1" applyFont="1" applyFill="1" applyBorder="1" applyAlignment="1" applyProtection="1">
      <alignment vertical="center"/>
      <protection locked="0"/>
    </xf>
    <xf numFmtId="1" fontId="4" fillId="4" borderId="2" xfId="0" applyNumberFormat="1" applyFont="1" applyFill="1" applyBorder="1" applyAlignment="1" applyProtection="1">
      <alignment vertical="center"/>
      <protection locked="0"/>
    </xf>
    <xf numFmtId="3" fontId="4" fillId="4" borderId="0" xfId="0" applyNumberFormat="1" applyFont="1" applyFill="1" applyBorder="1" applyAlignment="1" applyProtection="1">
      <alignment vertical="center"/>
      <protection locked="0"/>
    </xf>
    <xf numFmtId="4" fontId="4" fillId="4" borderId="1" xfId="0" applyNumberFormat="1" applyFont="1" applyFill="1" applyBorder="1" applyAlignment="1" applyProtection="1">
      <alignment vertical="center"/>
      <protection locked="0"/>
    </xf>
    <xf numFmtId="4" fontId="4" fillId="4" borderId="2" xfId="0" applyNumberFormat="1" applyFont="1" applyFill="1" applyBorder="1" applyAlignment="1" applyProtection="1">
      <alignment vertical="center"/>
      <protection locked="0"/>
    </xf>
    <xf numFmtId="10" fontId="4" fillId="4" borderId="0" xfId="0" applyNumberFormat="1" applyFont="1" applyFill="1" applyBorder="1" applyAlignment="1" applyProtection="1">
      <alignment vertical="center"/>
      <protection locked="0"/>
    </xf>
    <xf numFmtId="1" fontId="0" fillId="12" borderId="3" xfId="0" applyNumberFormat="1" applyFill="1" applyBorder="1" applyAlignment="1" applyProtection="1">
      <alignment horizontal="right" vertical="center"/>
      <protection locked="0"/>
    </xf>
    <xf numFmtId="43" fontId="0" fillId="12" borderId="3" xfId="0" applyNumberFormat="1" applyFill="1" applyBorder="1" applyAlignment="1" applyProtection="1">
      <alignment horizontal="right" vertical="center"/>
      <protection locked="0"/>
    </xf>
    <xf numFmtId="4" fontId="4" fillId="4" borderId="0" xfId="0" applyNumberFormat="1" applyFont="1" applyFill="1" applyBorder="1" applyAlignment="1" applyProtection="1">
      <alignment horizontal="right" vertical="center"/>
      <protection locked="0"/>
    </xf>
    <xf numFmtId="0" fontId="0" fillId="4" borderId="1" xfId="0" applyFont="1" applyFill="1" applyBorder="1" applyAlignment="1">
      <alignment horizontal="right" vertical="center"/>
    </xf>
    <xf numFmtId="0" fontId="0" fillId="4" borderId="13" xfId="0" applyFont="1" applyFill="1" applyBorder="1" applyAlignment="1" applyProtection="1">
      <alignment horizontal="right" vertical="center"/>
      <protection locked="0"/>
    </xf>
    <xf numFmtId="43" fontId="4" fillId="4" borderId="2" xfId="1" applyFont="1" applyFill="1" applyBorder="1" applyAlignment="1" applyProtection="1">
      <alignment horizontal="right" vertical="center"/>
      <protection locked="0"/>
    </xf>
    <xf numFmtId="43" fontId="0" fillId="12" borderId="2" xfId="0" applyNumberFormat="1" applyFill="1" applyBorder="1" applyAlignment="1" applyProtection="1">
      <alignment horizontal="right" vertical="center"/>
      <protection locked="0"/>
    </xf>
    <xf numFmtId="1" fontId="0" fillId="4" borderId="2" xfId="0" applyNumberFormat="1" applyFont="1" applyFill="1" applyBorder="1" applyAlignment="1" applyProtection="1">
      <alignment vertical="center"/>
      <protection locked="0"/>
    </xf>
    <xf numFmtId="1" fontId="4" fillId="4" borderId="0" xfId="1" applyNumberFormat="1" applyFont="1" applyFill="1" applyBorder="1" applyAlignment="1" applyProtection="1">
      <alignment horizontal="right" vertical="center"/>
      <protection locked="0"/>
    </xf>
    <xf numFmtId="43" fontId="0" fillId="4" borderId="2" xfId="1" applyFont="1" applyFill="1" applyBorder="1" applyAlignment="1" applyProtection="1">
      <alignment horizontal="right" vertical="center"/>
      <protection locked="0"/>
    </xf>
    <xf numFmtId="1" fontId="4" fillId="4" borderId="2" xfId="1" applyNumberFormat="1" applyFont="1" applyFill="1" applyBorder="1" applyAlignment="1" applyProtection="1">
      <alignment horizontal="right" vertical="center"/>
      <protection locked="0"/>
    </xf>
    <xf numFmtId="0" fontId="4" fillId="4" borderId="0" xfId="0" applyFont="1" applyFill="1" applyAlignment="1">
      <alignment vertical="center"/>
    </xf>
    <xf numFmtId="0" fontId="4" fillId="4" borderId="2" xfId="0" applyNumberFormat="1" applyFont="1" applyFill="1" applyBorder="1" applyAlignment="1" applyProtection="1">
      <alignment vertical="center"/>
      <protection locked="0"/>
    </xf>
    <xf numFmtId="3" fontId="4" fillId="4" borderId="0" xfId="0" applyNumberFormat="1" applyFont="1" applyFill="1" applyBorder="1" applyAlignment="1" applyProtection="1">
      <alignment horizontal="right" vertical="center"/>
      <protection locked="0"/>
    </xf>
    <xf numFmtId="10" fontId="0" fillId="4" borderId="2" xfId="0" applyNumberFormat="1" applyFont="1" applyFill="1" applyBorder="1" applyAlignment="1" applyProtection="1">
      <alignment vertical="center"/>
      <protection locked="0"/>
    </xf>
    <xf numFmtId="4" fontId="0" fillId="4" borderId="2" xfId="0" applyNumberFormat="1" applyFont="1" applyFill="1" applyBorder="1" applyAlignment="1" applyProtection="1">
      <alignment horizontal="right" vertical="center"/>
      <protection locked="0"/>
    </xf>
    <xf numFmtId="0" fontId="22" fillId="2" borderId="1" xfId="0" applyFont="1" applyFill="1" applyBorder="1" applyAlignment="1" applyProtection="1">
      <alignment horizontal="left" vertical="center"/>
      <protection locked="0"/>
    </xf>
    <xf numFmtId="0" fontId="22" fillId="2" borderId="1" xfId="0" applyFont="1" applyFill="1" applyBorder="1" applyAlignment="1" applyProtection="1">
      <alignment horizontal="right" vertical="center"/>
      <protection locked="0"/>
    </xf>
    <xf numFmtId="4" fontId="2" fillId="4" borderId="0" xfId="0" applyNumberFormat="1" applyFont="1" applyFill="1" applyBorder="1" applyAlignment="1" applyProtection="1">
      <alignment horizontal="center" vertical="center"/>
      <protection locked="0"/>
    </xf>
    <xf numFmtId="0" fontId="0" fillId="2" borderId="53" xfId="0" applyFont="1" applyFill="1" applyBorder="1" applyAlignment="1" applyProtection="1">
      <alignment vertical="center"/>
      <protection hidden="1"/>
    </xf>
    <xf numFmtId="3" fontId="23" fillId="13" borderId="23" xfId="0" applyNumberFormat="1" applyFont="1" applyFill="1" applyBorder="1" applyAlignment="1" applyProtection="1">
      <alignment horizontal="right" vertical="center"/>
      <protection hidden="1"/>
    </xf>
    <xf numFmtId="0" fontId="2" fillId="4" borderId="0" xfId="0" applyFont="1" applyFill="1" applyBorder="1" applyAlignment="1" applyProtection="1">
      <alignment horizontal="left" vertical="center"/>
      <protection locked="0"/>
    </xf>
    <xf numFmtId="0" fontId="0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167" fontId="6" fillId="2" borderId="0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0" fillId="2" borderId="18" xfId="0" applyFont="1" applyFill="1" applyBorder="1" applyAlignment="1">
      <alignment horizontal="right" vertical="center"/>
    </xf>
    <xf numFmtId="6" fontId="6" fillId="2" borderId="1" xfId="0" applyNumberFormat="1" applyFont="1" applyFill="1" applyBorder="1" applyAlignment="1">
      <alignment horizontal="center" vertical="center"/>
    </xf>
    <xf numFmtId="0" fontId="22" fillId="2" borderId="13" xfId="0" applyFont="1" applyFill="1" applyBorder="1" applyAlignment="1" applyProtection="1">
      <alignment horizontal="right" vertical="center"/>
      <protection locked="0"/>
    </xf>
    <xf numFmtId="1" fontId="0" fillId="2" borderId="55" xfId="1" applyNumberFormat="1" applyFont="1" applyFill="1" applyBorder="1" applyAlignment="1" applyProtection="1">
      <alignment horizontal="right" vertical="center"/>
      <protection locked="0"/>
    </xf>
    <xf numFmtId="3" fontId="4" fillId="2" borderId="55" xfId="0" applyNumberFormat="1" applyFont="1" applyFill="1" applyBorder="1" applyAlignment="1" applyProtection="1">
      <alignment vertical="center"/>
      <protection locked="0"/>
    </xf>
    <xf numFmtId="0" fontId="4" fillId="2" borderId="55" xfId="0" applyFont="1" applyFill="1" applyBorder="1" applyAlignment="1" applyProtection="1">
      <alignment vertical="center"/>
      <protection locked="0"/>
    </xf>
    <xf numFmtId="3" fontId="1" fillId="2" borderId="55" xfId="0" applyNumberFormat="1" applyFont="1" applyFill="1" applyBorder="1" applyAlignment="1" applyProtection="1">
      <alignment vertical="center"/>
      <protection locked="0"/>
    </xf>
    <xf numFmtId="0" fontId="11" fillId="2" borderId="55" xfId="0" applyFont="1" applyFill="1" applyBorder="1" applyAlignment="1" applyProtection="1">
      <alignment vertical="center"/>
      <protection locked="0"/>
    </xf>
    <xf numFmtId="3" fontId="11" fillId="2" borderId="55" xfId="0" applyNumberFormat="1" applyFont="1" applyFill="1" applyBorder="1" applyAlignment="1" applyProtection="1">
      <alignment vertical="center"/>
      <protection locked="0"/>
    </xf>
    <xf numFmtId="0" fontId="12" fillId="9" borderId="36" xfId="0" applyFont="1" applyFill="1" applyBorder="1" applyAlignment="1" applyProtection="1">
      <alignment horizontal="center" vertical="center"/>
      <protection locked="0"/>
    </xf>
    <xf numFmtId="0" fontId="12" fillId="9" borderId="37" xfId="0" applyFont="1" applyFill="1" applyBorder="1" applyAlignment="1" applyProtection="1">
      <alignment horizontal="center" vertical="center"/>
      <protection locked="0"/>
    </xf>
    <xf numFmtId="0" fontId="12" fillId="9" borderId="38" xfId="0" applyFont="1" applyFill="1" applyBorder="1" applyAlignment="1" applyProtection="1">
      <alignment horizontal="center" vertical="center"/>
      <protection locked="0"/>
    </xf>
    <xf numFmtId="3" fontId="14" fillId="8" borderId="39" xfId="0" applyNumberFormat="1" applyFont="1" applyFill="1" applyBorder="1" applyAlignment="1">
      <alignment horizontal="center" vertical="center"/>
    </xf>
    <xf numFmtId="3" fontId="14" fillId="8" borderId="40" xfId="0" applyNumberFormat="1" applyFont="1" applyFill="1" applyBorder="1" applyAlignment="1">
      <alignment horizontal="center" vertical="center"/>
    </xf>
    <xf numFmtId="3" fontId="14" fillId="8" borderId="41" xfId="0" applyNumberFormat="1" applyFont="1" applyFill="1" applyBorder="1" applyAlignment="1">
      <alignment horizontal="center" vertical="center"/>
    </xf>
    <xf numFmtId="3" fontId="14" fillId="8" borderId="42" xfId="0" applyNumberFormat="1" applyFont="1" applyFill="1" applyBorder="1" applyAlignment="1">
      <alignment horizontal="center" vertical="center"/>
    </xf>
    <xf numFmtId="3" fontId="14" fillId="8" borderId="0" xfId="0" applyNumberFormat="1" applyFont="1" applyFill="1" applyBorder="1" applyAlignment="1">
      <alignment horizontal="center" vertical="center"/>
    </xf>
    <xf numFmtId="3" fontId="14" fillId="8" borderId="43" xfId="0" applyNumberFormat="1" applyFont="1" applyFill="1" applyBorder="1" applyAlignment="1">
      <alignment horizontal="center" vertical="center"/>
    </xf>
    <xf numFmtId="3" fontId="14" fillId="8" borderId="44" xfId="0" applyNumberFormat="1" applyFont="1" applyFill="1" applyBorder="1" applyAlignment="1">
      <alignment horizontal="center" vertical="center"/>
    </xf>
    <xf numFmtId="3" fontId="14" fillId="8" borderId="45" xfId="0" applyNumberFormat="1" applyFont="1" applyFill="1" applyBorder="1" applyAlignment="1">
      <alignment horizontal="center" vertical="center"/>
    </xf>
    <xf numFmtId="3" fontId="14" fillId="8" borderId="46" xfId="0" applyNumberFormat="1" applyFont="1" applyFill="1" applyBorder="1" applyAlignment="1">
      <alignment horizontal="center" vertical="center"/>
    </xf>
    <xf numFmtId="0" fontId="2" fillId="5" borderId="4" xfId="0" applyFont="1" applyFill="1" applyBorder="1" applyAlignment="1" applyProtection="1">
      <alignment horizontal="center" vertical="center"/>
      <protection locked="0"/>
    </xf>
    <xf numFmtId="0" fontId="2" fillId="5" borderId="11" xfId="0" applyFont="1" applyFill="1" applyBorder="1" applyAlignment="1" applyProtection="1">
      <alignment horizontal="center" vertical="center"/>
      <protection locked="0"/>
    </xf>
    <xf numFmtId="0" fontId="2" fillId="5" borderId="31" xfId="0" applyFont="1" applyFill="1" applyBorder="1" applyAlignment="1" applyProtection="1">
      <alignment horizontal="left" vertical="center"/>
      <protection locked="0"/>
    </xf>
    <xf numFmtId="0" fontId="2" fillId="5" borderId="33" xfId="0" applyFont="1" applyFill="1" applyBorder="1" applyAlignment="1" applyProtection="1">
      <alignment horizontal="left" vertical="center"/>
      <protection locked="0"/>
    </xf>
    <xf numFmtId="0" fontId="2" fillId="5" borderId="15" xfId="0" applyFont="1" applyFill="1" applyBorder="1" applyAlignment="1" applyProtection="1">
      <alignment horizontal="center" vertical="center"/>
      <protection locked="0"/>
    </xf>
    <xf numFmtId="0" fontId="2" fillId="5" borderId="16" xfId="0" applyFont="1" applyFill="1" applyBorder="1" applyAlignment="1" applyProtection="1">
      <alignment horizontal="center" vertical="center"/>
      <protection locked="0"/>
    </xf>
    <xf numFmtId="0" fontId="21" fillId="2" borderId="43" xfId="0" applyFont="1" applyFill="1" applyBorder="1" applyAlignment="1">
      <alignment horizontal="center" vertical="center"/>
    </xf>
    <xf numFmtId="164" fontId="5" fillId="8" borderId="31" xfId="0" applyNumberFormat="1" applyFont="1" applyFill="1" applyBorder="1" applyAlignment="1" applyProtection="1">
      <alignment horizontal="center" vertical="center"/>
      <protection locked="0"/>
    </xf>
    <xf numFmtId="164" fontId="5" fillId="8" borderId="32" xfId="0" applyNumberFormat="1" applyFont="1" applyFill="1" applyBorder="1" applyAlignment="1" applyProtection="1">
      <alignment horizontal="center" vertical="center"/>
      <protection locked="0"/>
    </xf>
    <xf numFmtId="164" fontId="5" fillId="8" borderId="33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left" vertical="center" wrapText="1"/>
      <protection locked="0"/>
    </xf>
    <xf numFmtId="0" fontId="0" fillId="0" borderId="1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2" fillId="5" borderId="2" xfId="0" applyFont="1" applyFill="1" applyBorder="1" applyAlignment="1" applyProtection="1">
      <alignment horizontal="center" vertical="center"/>
      <protection locked="0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021"/>
  <sheetViews>
    <sheetView showGridLines="0" tabSelected="1" zoomScale="77" zoomScaleNormal="77" workbookViewId="0">
      <selection activeCell="H66" sqref="H66"/>
    </sheetView>
  </sheetViews>
  <sheetFormatPr baseColWidth="10" defaultColWidth="11.42578125" defaultRowHeight="12.75" x14ac:dyDescent="0.2"/>
  <cols>
    <col min="1" max="1" width="5" style="46" customWidth="1"/>
    <col min="2" max="2" width="3.28515625" style="44" customWidth="1"/>
    <col min="3" max="3" width="6" style="58" customWidth="1"/>
    <col min="4" max="4" width="55.42578125" style="21" customWidth="1"/>
    <col min="5" max="5" width="14" style="22" customWidth="1"/>
    <col min="6" max="6" width="13" style="21" customWidth="1"/>
    <col min="7" max="7" width="17.85546875" style="21" customWidth="1"/>
    <col min="8" max="8" width="16.7109375" style="21" customWidth="1"/>
    <col min="9" max="9" width="12.5703125" style="59" hidden="1" customWidth="1"/>
    <col min="10" max="10" width="13.140625" style="59" hidden="1" customWidth="1"/>
    <col min="11" max="12" width="3.28515625" style="46" hidden="1" customWidth="1"/>
    <col min="13" max="16" width="10.85546875" style="46" hidden="1" customWidth="1"/>
    <col min="17" max="17" width="3.28515625" style="46" hidden="1" customWidth="1"/>
    <col min="18" max="18" width="5" style="46" hidden="1" customWidth="1"/>
    <col min="19" max="19" width="11.42578125" style="46" customWidth="1"/>
    <col min="20" max="20" width="16.28515625" style="46" customWidth="1"/>
    <col min="21" max="16384" width="11.42578125" style="46"/>
  </cols>
  <sheetData>
    <row r="1" spans="1:21" ht="23.1" customHeight="1" thickBot="1" x14ac:dyDescent="0.25">
      <c r="A1" s="269"/>
      <c r="B1" s="274"/>
      <c r="C1" s="277"/>
      <c r="D1" s="278"/>
      <c r="E1" s="279"/>
      <c r="F1" s="278"/>
      <c r="G1" s="278"/>
      <c r="H1" s="278"/>
      <c r="I1" s="280"/>
      <c r="J1" s="280"/>
      <c r="K1" s="269"/>
      <c r="L1" s="269"/>
      <c r="M1" s="269"/>
      <c r="N1" s="269"/>
      <c r="O1" s="269"/>
      <c r="P1" s="269"/>
      <c r="Q1" s="269"/>
      <c r="R1" s="269"/>
    </row>
    <row r="2" spans="1:21" ht="17.100000000000001" customHeight="1" thickTop="1" thickBot="1" x14ac:dyDescent="0.25">
      <c r="A2" s="269"/>
      <c r="B2" s="178"/>
      <c r="C2" s="179"/>
      <c r="D2" s="180"/>
      <c r="E2" s="181"/>
      <c r="F2" s="180"/>
      <c r="G2" s="180"/>
      <c r="H2" s="180"/>
      <c r="I2" s="182"/>
      <c r="J2" s="182"/>
      <c r="K2" s="183"/>
      <c r="L2" s="178"/>
      <c r="M2" s="212"/>
      <c r="N2" s="212"/>
      <c r="O2" s="212"/>
      <c r="P2" s="212"/>
      <c r="Q2" s="183"/>
      <c r="R2" s="269"/>
    </row>
    <row r="3" spans="1:21" s="41" customFormat="1" ht="15.95" customHeight="1" x14ac:dyDescent="0.2">
      <c r="A3" s="270"/>
      <c r="B3" s="184"/>
      <c r="C3" s="538" t="s">
        <v>147</v>
      </c>
      <c r="D3" s="520" t="s">
        <v>331</v>
      </c>
      <c r="E3" s="147" t="s">
        <v>132</v>
      </c>
      <c r="F3" s="130">
        <v>3</v>
      </c>
      <c r="G3" s="511" t="s">
        <v>223</v>
      </c>
      <c r="H3" s="130">
        <v>80</v>
      </c>
      <c r="I3" s="124" t="s">
        <v>223</v>
      </c>
      <c r="J3" s="143">
        <v>75</v>
      </c>
      <c r="K3" s="185"/>
      <c r="L3" s="184"/>
      <c r="M3" s="523" t="s">
        <v>7</v>
      </c>
      <c r="N3" s="524"/>
      <c r="O3" s="524"/>
      <c r="P3" s="525"/>
      <c r="Q3" s="185"/>
      <c r="R3" s="270"/>
      <c r="T3" s="506"/>
      <c r="U3" s="507"/>
    </row>
    <row r="4" spans="1:21" s="41" customFormat="1" ht="15.95" customHeight="1" x14ac:dyDescent="0.2">
      <c r="A4" s="270"/>
      <c r="B4" s="184"/>
      <c r="C4" s="538"/>
      <c r="D4" s="521"/>
      <c r="E4" s="14" t="s">
        <v>77</v>
      </c>
      <c r="F4" s="131">
        <v>4</v>
      </c>
      <c r="G4" s="116" t="s">
        <v>131</v>
      </c>
      <c r="H4" s="512">
        <v>40</v>
      </c>
      <c r="I4" s="125" t="s">
        <v>131</v>
      </c>
      <c r="J4" s="148"/>
      <c r="K4" s="185"/>
      <c r="L4" s="184"/>
      <c r="M4" s="526"/>
      <c r="N4" s="527"/>
      <c r="O4" s="527"/>
      <c r="P4" s="528"/>
      <c r="Q4" s="185"/>
      <c r="R4" s="270"/>
      <c r="T4" s="506"/>
      <c r="U4" s="508"/>
    </row>
    <row r="5" spans="1:21" s="41" customFormat="1" ht="15.95" customHeight="1" thickBot="1" x14ac:dyDescent="0.25">
      <c r="A5" s="270"/>
      <c r="B5" s="184"/>
      <c r="C5" s="538"/>
      <c r="D5" s="522"/>
      <c r="E5" s="75" t="s">
        <v>13</v>
      </c>
      <c r="F5" s="131">
        <v>1</v>
      </c>
      <c r="G5" s="116" t="s">
        <v>358</v>
      </c>
      <c r="H5" s="131">
        <v>60</v>
      </c>
      <c r="I5" s="467" t="s">
        <v>323</v>
      </c>
      <c r="J5" s="468">
        <v>60</v>
      </c>
      <c r="K5" s="185"/>
      <c r="L5" s="184"/>
      <c r="M5" s="529"/>
      <c r="N5" s="530"/>
      <c r="O5" s="530"/>
      <c r="P5" s="531"/>
      <c r="Q5" s="185"/>
      <c r="R5" s="270"/>
      <c r="T5" s="509"/>
      <c r="U5" s="510"/>
    </row>
    <row r="6" spans="1:21" s="43" customFormat="1" ht="20.100000000000001" customHeight="1" thickBot="1" x14ac:dyDescent="0.25">
      <c r="A6" s="271"/>
      <c r="B6" s="186"/>
      <c r="C6" s="177"/>
      <c r="D6" s="312" t="s">
        <v>78</v>
      </c>
      <c r="E6" s="313"/>
      <c r="F6" s="313"/>
      <c r="G6" s="314"/>
      <c r="H6" s="310" t="s">
        <v>52</v>
      </c>
      <c r="I6" s="301" t="s">
        <v>55</v>
      </c>
      <c r="J6" s="302" t="s">
        <v>130</v>
      </c>
      <c r="K6" s="187"/>
      <c r="L6" s="186"/>
      <c r="M6" s="305" t="s">
        <v>88</v>
      </c>
      <c r="N6" s="306" t="s">
        <v>25</v>
      </c>
      <c r="O6" s="306" t="s">
        <v>54</v>
      </c>
      <c r="P6" s="310" t="s">
        <v>52</v>
      </c>
      <c r="Q6" s="187"/>
      <c r="R6" s="271"/>
    </row>
    <row r="7" spans="1:21" ht="9" customHeight="1" x14ac:dyDescent="0.2">
      <c r="A7" s="269"/>
      <c r="B7" s="184"/>
      <c r="C7" s="63"/>
      <c r="D7" s="44"/>
      <c r="E7" s="4"/>
      <c r="F7" s="5"/>
      <c r="G7" s="5"/>
      <c r="H7" s="173"/>
      <c r="I7" s="174"/>
      <c r="J7" s="174"/>
      <c r="K7" s="185"/>
      <c r="L7" s="184"/>
      <c r="M7" s="45"/>
      <c r="N7" s="45"/>
      <c r="O7" s="45"/>
      <c r="P7" s="173"/>
      <c r="Q7" s="185"/>
      <c r="R7" s="269"/>
    </row>
    <row r="8" spans="1:21" s="47" customFormat="1" ht="20.100000000000001" customHeight="1" x14ac:dyDescent="0.2">
      <c r="A8" s="272"/>
      <c r="B8" s="188"/>
      <c r="C8" s="295">
        <v>1</v>
      </c>
      <c r="D8" s="296" t="str">
        <f>D71</f>
        <v>LIBRO / ARGUMENTO / GUION</v>
      </c>
      <c r="E8" s="297"/>
      <c r="F8" s="298"/>
      <c r="G8" s="298"/>
      <c r="H8" s="311">
        <f>H78</f>
        <v>2400000</v>
      </c>
      <c r="I8" s="303">
        <f>I78</f>
        <v>504000</v>
      </c>
      <c r="J8" s="304">
        <f>J78</f>
        <v>2904000</v>
      </c>
      <c r="K8" s="189"/>
      <c r="L8" s="188"/>
      <c r="M8" s="307"/>
      <c r="N8" s="308"/>
      <c r="O8" s="309">
        <f>O78</f>
        <v>0</v>
      </c>
      <c r="P8" s="311">
        <f>SUM(M8:O8)</f>
        <v>0</v>
      </c>
      <c r="Q8" s="189"/>
      <c r="R8" s="272"/>
    </row>
    <row r="9" spans="1:21" ht="9" customHeight="1" x14ac:dyDescent="0.2">
      <c r="A9" s="269"/>
      <c r="B9" s="190"/>
      <c r="C9" s="68"/>
      <c r="D9" s="69"/>
      <c r="E9" s="70"/>
      <c r="F9" s="71"/>
      <c r="G9" s="71"/>
      <c r="H9" s="132"/>
      <c r="I9" s="133"/>
      <c r="J9" s="133"/>
      <c r="K9" s="191"/>
      <c r="L9" s="190"/>
      <c r="M9" s="175"/>
      <c r="N9" s="175"/>
      <c r="O9" s="175"/>
      <c r="P9" s="132"/>
      <c r="Q9" s="191"/>
      <c r="R9" s="269"/>
    </row>
    <row r="10" spans="1:21" s="47" customFormat="1" ht="20.100000000000001" customHeight="1" x14ac:dyDescent="0.2">
      <c r="A10" s="272"/>
      <c r="B10" s="188"/>
      <c r="C10" s="295">
        <v>2</v>
      </c>
      <c r="D10" s="296" t="str">
        <f>D80</f>
        <v>DIRECCION</v>
      </c>
      <c r="E10" s="297"/>
      <c r="F10" s="298"/>
      <c r="G10" s="298"/>
      <c r="H10" s="311">
        <f>+H84</f>
        <v>3500000</v>
      </c>
      <c r="I10" s="303">
        <f>I84</f>
        <v>735000</v>
      </c>
      <c r="J10" s="304">
        <f>+J84</f>
        <v>4235000</v>
      </c>
      <c r="K10" s="189"/>
      <c r="L10" s="188"/>
      <c r="M10" s="307"/>
      <c r="N10" s="308"/>
      <c r="O10" s="309">
        <v>0</v>
      </c>
      <c r="P10" s="311">
        <f>SUM(M10:O10)</f>
        <v>0</v>
      </c>
      <c r="Q10" s="189"/>
      <c r="R10" s="272"/>
    </row>
    <row r="11" spans="1:21" ht="9" customHeight="1" x14ac:dyDescent="0.2">
      <c r="A11" s="269"/>
      <c r="B11" s="190"/>
      <c r="C11" s="68"/>
      <c r="D11" s="69"/>
      <c r="E11" s="70"/>
      <c r="F11" s="71"/>
      <c r="G11" s="71"/>
      <c r="H11" s="132"/>
      <c r="I11" s="133"/>
      <c r="J11" s="133"/>
      <c r="K11" s="191"/>
      <c r="L11" s="190"/>
      <c r="M11" s="48"/>
      <c r="N11" s="48"/>
      <c r="O11" s="48"/>
      <c r="P11" s="132"/>
      <c r="Q11" s="191"/>
      <c r="R11" s="269"/>
    </row>
    <row r="12" spans="1:21" s="47" customFormat="1" ht="20.100000000000001" customHeight="1" x14ac:dyDescent="0.2">
      <c r="A12" s="272"/>
      <c r="B12" s="188"/>
      <c r="C12" s="295">
        <v>3</v>
      </c>
      <c r="D12" s="296" t="str">
        <f>D86</f>
        <v>PRODUCCION</v>
      </c>
      <c r="E12" s="297"/>
      <c r="F12" s="298"/>
      <c r="G12" s="298"/>
      <c r="H12" s="311">
        <f>H89</f>
        <v>1050000</v>
      </c>
      <c r="I12" s="303">
        <f>I89</f>
        <v>220500</v>
      </c>
      <c r="J12" s="304">
        <f>J89</f>
        <v>1270500</v>
      </c>
      <c r="K12" s="189"/>
      <c r="L12" s="188"/>
      <c r="M12" s="307"/>
      <c r="N12" s="308"/>
      <c r="O12" s="309"/>
      <c r="P12" s="311">
        <f>SUM(M12:O12)</f>
        <v>0</v>
      </c>
      <c r="Q12" s="189"/>
      <c r="R12" s="272"/>
    </row>
    <row r="13" spans="1:21" ht="9" customHeight="1" x14ac:dyDescent="0.2">
      <c r="A13" s="269"/>
      <c r="B13" s="190"/>
      <c r="C13" s="68"/>
      <c r="D13" s="69"/>
      <c r="E13" s="70"/>
      <c r="F13" s="71"/>
      <c r="G13" s="71"/>
      <c r="H13" s="132"/>
      <c r="I13" s="133"/>
      <c r="J13" s="133"/>
      <c r="K13" s="191"/>
      <c r="L13" s="190"/>
      <c r="M13" s="175"/>
      <c r="N13" s="175"/>
      <c r="O13" s="175"/>
      <c r="P13" s="132"/>
      <c r="Q13" s="191"/>
      <c r="R13" s="269"/>
    </row>
    <row r="14" spans="1:21" s="47" customFormat="1" ht="17.100000000000001" customHeight="1" x14ac:dyDescent="0.2">
      <c r="A14" s="272"/>
      <c r="B14" s="188"/>
      <c r="C14" s="295">
        <v>4</v>
      </c>
      <c r="D14" s="296" t="str">
        <f>D91</f>
        <v>EQUIPO TECNICO</v>
      </c>
      <c r="E14" s="297"/>
      <c r="F14" s="298"/>
      <c r="G14" s="298"/>
      <c r="H14" s="311">
        <f>+H737</f>
        <v>29002617.177156676</v>
      </c>
      <c r="I14" s="303">
        <f>I720</f>
        <v>0</v>
      </c>
      <c r="J14" s="304">
        <f>+J737</f>
        <v>29002617.177156676</v>
      </c>
      <c r="K14" s="189"/>
      <c r="L14" s="188"/>
      <c r="M14" s="307"/>
      <c r="N14" s="308"/>
      <c r="O14" s="309"/>
      <c r="P14" s="311">
        <f>SUM(M14:O14)</f>
        <v>0</v>
      </c>
      <c r="Q14" s="189"/>
      <c r="R14" s="272"/>
    </row>
    <row r="15" spans="1:21" ht="9" customHeight="1" x14ac:dyDescent="0.2">
      <c r="A15" s="269"/>
      <c r="B15" s="190"/>
      <c r="C15" s="68"/>
      <c r="D15" s="69"/>
      <c r="E15" s="70"/>
      <c r="F15" s="71"/>
      <c r="G15" s="71"/>
      <c r="H15" s="132"/>
      <c r="I15" s="133"/>
      <c r="J15" s="133"/>
      <c r="K15" s="191"/>
      <c r="L15" s="190"/>
      <c r="M15" s="48"/>
      <c r="N15" s="48"/>
      <c r="O15" s="48"/>
      <c r="P15" s="132"/>
      <c r="Q15" s="191"/>
      <c r="R15" s="269"/>
    </row>
    <row r="16" spans="1:21" s="47" customFormat="1" ht="17.100000000000001" customHeight="1" x14ac:dyDescent="0.2">
      <c r="A16" s="272"/>
      <c r="B16" s="188"/>
      <c r="C16" s="295">
        <v>5</v>
      </c>
      <c r="D16" s="296" t="str">
        <f>D739</f>
        <v>ELENCO (Jornada de 10 hs)</v>
      </c>
      <c r="E16" s="297"/>
      <c r="F16" s="298"/>
      <c r="G16" s="298"/>
      <c r="H16" s="311">
        <f>H768</f>
        <v>14762832.748</v>
      </c>
      <c r="I16" s="303">
        <f>I768</f>
        <v>0</v>
      </c>
      <c r="J16" s="304">
        <f>J768</f>
        <v>14762832.748</v>
      </c>
      <c r="K16" s="189"/>
      <c r="L16" s="188"/>
      <c r="M16" s="307">
        <v>0</v>
      </c>
      <c r="N16" s="308"/>
      <c r="O16" s="309">
        <f>O768</f>
        <v>0</v>
      </c>
      <c r="P16" s="311">
        <f>SUM(M16:O16)</f>
        <v>0</v>
      </c>
      <c r="Q16" s="189"/>
      <c r="R16" s="272"/>
    </row>
    <row r="17" spans="1:18" ht="9" customHeight="1" x14ac:dyDescent="0.2">
      <c r="A17" s="269"/>
      <c r="B17" s="190"/>
      <c r="C17" s="68"/>
      <c r="D17" s="69"/>
      <c r="E17" s="70"/>
      <c r="F17" s="71"/>
      <c r="G17" s="71"/>
      <c r="H17" s="132"/>
      <c r="I17" s="133"/>
      <c r="J17" s="133"/>
      <c r="K17" s="191"/>
      <c r="L17" s="190"/>
      <c r="M17" s="175"/>
      <c r="N17" s="175"/>
      <c r="O17" s="175"/>
      <c r="P17" s="132"/>
      <c r="Q17" s="191"/>
      <c r="R17" s="269"/>
    </row>
    <row r="18" spans="1:18" s="47" customFormat="1" ht="17.100000000000001" customHeight="1" x14ac:dyDescent="0.2">
      <c r="A18" s="272"/>
      <c r="B18" s="188"/>
      <c r="C18" s="295">
        <v>6</v>
      </c>
      <c r="D18" s="296" t="str">
        <f>D770</f>
        <v>CARGAS SOCIALES</v>
      </c>
      <c r="E18" s="297"/>
      <c r="F18" s="298"/>
      <c r="G18" s="298"/>
      <c r="H18" s="311">
        <f>H775</f>
        <v>12077907.50652387</v>
      </c>
      <c r="I18" s="303">
        <f>I775</f>
        <v>0</v>
      </c>
      <c r="J18" s="304">
        <f>J775</f>
        <v>12077907.50652387</v>
      </c>
      <c r="K18" s="189"/>
      <c r="L18" s="188"/>
      <c r="M18" s="307"/>
      <c r="N18" s="308"/>
      <c r="O18" s="309"/>
      <c r="P18" s="311">
        <f>SUM(M18:O18)</f>
        <v>0</v>
      </c>
      <c r="Q18" s="189"/>
      <c r="R18" s="272"/>
    </row>
    <row r="19" spans="1:18" ht="9" customHeight="1" x14ac:dyDescent="0.2">
      <c r="A19" s="269"/>
      <c r="B19" s="190"/>
      <c r="C19" s="68"/>
      <c r="D19" s="69"/>
      <c r="E19" s="70"/>
      <c r="F19" s="71"/>
      <c r="G19" s="71"/>
      <c r="H19" s="132"/>
      <c r="I19" s="133"/>
      <c r="J19" s="133"/>
      <c r="K19" s="191"/>
      <c r="L19" s="190"/>
      <c r="M19" s="48"/>
      <c r="N19" s="48"/>
      <c r="O19" s="48"/>
      <c r="P19" s="132"/>
      <c r="Q19" s="191"/>
      <c r="R19" s="269"/>
    </row>
    <row r="20" spans="1:18" s="47" customFormat="1" ht="17.100000000000001" customHeight="1" x14ac:dyDescent="0.2">
      <c r="A20" s="272"/>
      <c r="B20" s="188"/>
      <c r="C20" s="295">
        <v>7</v>
      </c>
      <c r="D20" s="296" t="str">
        <f>D777</f>
        <v>VESTUARIO</v>
      </c>
      <c r="E20" s="297"/>
      <c r="F20" s="298"/>
      <c r="G20" s="298"/>
      <c r="H20" s="311">
        <f>H791</f>
        <v>659000</v>
      </c>
      <c r="I20" s="303">
        <f>I791</f>
        <v>138390</v>
      </c>
      <c r="J20" s="304">
        <f>J791</f>
        <v>797390</v>
      </c>
      <c r="K20" s="189"/>
      <c r="L20" s="188"/>
      <c r="M20" s="307"/>
      <c r="N20" s="308"/>
      <c r="O20" s="309">
        <v>0</v>
      </c>
      <c r="P20" s="311">
        <f>SUM(M20:O20)</f>
        <v>0</v>
      </c>
      <c r="Q20" s="189"/>
      <c r="R20" s="272"/>
    </row>
    <row r="21" spans="1:18" ht="9" customHeight="1" x14ac:dyDescent="0.2">
      <c r="A21" s="269"/>
      <c r="B21" s="190"/>
      <c r="C21" s="68"/>
      <c r="D21" s="69"/>
      <c r="E21" s="70"/>
      <c r="F21" s="71"/>
      <c r="G21" s="71"/>
      <c r="H21" s="132"/>
      <c r="I21" s="133"/>
      <c r="J21" s="133"/>
      <c r="K21" s="191"/>
      <c r="L21" s="190"/>
      <c r="M21" s="175"/>
      <c r="N21" s="175"/>
      <c r="O21" s="175"/>
      <c r="P21" s="132"/>
      <c r="Q21" s="191"/>
      <c r="R21" s="269"/>
    </row>
    <row r="22" spans="1:18" s="47" customFormat="1" ht="17.100000000000001" customHeight="1" x14ac:dyDescent="0.2">
      <c r="A22" s="272"/>
      <c r="B22" s="188"/>
      <c r="C22" s="295">
        <v>8</v>
      </c>
      <c r="D22" s="296" t="str">
        <f>D793</f>
        <v>MAQUILLAJE</v>
      </c>
      <c r="E22" s="297"/>
      <c r="F22" s="298"/>
      <c r="G22" s="298"/>
      <c r="H22" s="311">
        <f>H800</f>
        <v>210000</v>
      </c>
      <c r="I22" s="303">
        <f>I800</f>
        <v>44100</v>
      </c>
      <c r="J22" s="304">
        <f>J800</f>
        <v>254100</v>
      </c>
      <c r="K22" s="189"/>
      <c r="L22" s="188"/>
      <c r="M22" s="307"/>
      <c r="N22" s="308"/>
      <c r="O22" s="309">
        <f>O800</f>
        <v>0</v>
      </c>
      <c r="P22" s="311">
        <f>SUM(M22:O22)</f>
        <v>0</v>
      </c>
      <c r="Q22" s="189"/>
      <c r="R22" s="272"/>
    </row>
    <row r="23" spans="1:18" ht="9" customHeight="1" x14ac:dyDescent="0.2">
      <c r="A23" s="269"/>
      <c r="B23" s="190"/>
      <c r="C23" s="68"/>
      <c r="D23" s="69"/>
      <c r="E23" s="70"/>
      <c r="F23" s="71"/>
      <c r="G23" s="71"/>
      <c r="H23" s="132"/>
      <c r="I23" s="133"/>
      <c r="J23" s="133"/>
      <c r="K23" s="191"/>
      <c r="L23" s="190"/>
      <c r="M23" s="48"/>
      <c r="N23" s="48"/>
      <c r="O23" s="48"/>
      <c r="P23" s="132"/>
      <c r="Q23" s="191"/>
      <c r="R23" s="269"/>
    </row>
    <row r="24" spans="1:18" s="47" customFormat="1" ht="17.100000000000001" customHeight="1" x14ac:dyDescent="0.2">
      <c r="A24" s="272"/>
      <c r="B24" s="188"/>
      <c r="C24" s="295">
        <v>9</v>
      </c>
      <c r="D24" s="296" t="str">
        <f>D802</f>
        <v>UTILERIA/AMBIENTACIÓN</v>
      </c>
      <c r="E24" s="297"/>
      <c r="F24" s="298"/>
      <c r="G24" s="298"/>
      <c r="H24" s="311">
        <f>H807</f>
        <v>408000</v>
      </c>
      <c r="I24" s="303">
        <f>I807</f>
        <v>75600</v>
      </c>
      <c r="J24" s="304">
        <f>J807</f>
        <v>483600</v>
      </c>
      <c r="K24" s="189"/>
      <c r="L24" s="188"/>
      <c r="M24" s="307"/>
      <c r="N24" s="308"/>
      <c r="O24" s="309">
        <f>O807</f>
        <v>0</v>
      </c>
      <c r="P24" s="311">
        <f>SUM(M24:O24)</f>
        <v>0</v>
      </c>
      <c r="Q24" s="189"/>
      <c r="R24" s="272"/>
    </row>
    <row r="25" spans="1:18" ht="9" customHeight="1" x14ac:dyDescent="0.2">
      <c r="A25" s="269"/>
      <c r="B25" s="190"/>
      <c r="C25" s="68"/>
      <c r="D25" s="69"/>
      <c r="E25" s="70"/>
      <c r="F25" s="71"/>
      <c r="G25" s="71"/>
      <c r="H25" s="132"/>
      <c r="I25" s="133"/>
      <c r="J25" s="133"/>
      <c r="K25" s="191"/>
      <c r="L25" s="190"/>
      <c r="M25" s="175"/>
      <c r="N25" s="175"/>
      <c r="O25" s="175"/>
      <c r="P25" s="132"/>
      <c r="Q25" s="191"/>
      <c r="R25" s="269"/>
    </row>
    <row r="26" spans="1:18" s="47" customFormat="1" ht="17.100000000000001" customHeight="1" x14ac:dyDescent="0.2">
      <c r="A26" s="272"/>
      <c r="B26" s="188"/>
      <c r="C26" s="295">
        <v>10</v>
      </c>
      <c r="D26" s="296" t="str">
        <f>D809</f>
        <v>ESCENOGRAFIA</v>
      </c>
      <c r="E26" s="297"/>
      <c r="F26" s="298"/>
      <c r="G26" s="298"/>
      <c r="H26" s="311">
        <f>H814</f>
        <v>6500000</v>
      </c>
      <c r="I26" s="303">
        <f>I814</f>
        <v>1365000</v>
      </c>
      <c r="J26" s="304">
        <f>J814</f>
        <v>7865000</v>
      </c>
      <c r="K26" s="189"/>
      <c r="L26" s="188"/>
      <c r="M26" s="307"/>
      <c r="N26" s="308"/>
      <c r="O26" s="309">
        <f>O814</f>
        <v>0</v>
      </c>
      <c r="P26" s="311">
        <f>SUM(M26:O26)</f>
        <v>0</v>
      </c>
      <c r="Q26" s="189"/>
      <c r="R26" s="272"/>
    </row>
    <row r="27" spans="1:18" ht="9" customHeight="1" x14ac:dyDescent="0.2">
      <c r="A27" s="269"/>
      <c r="B27" s="190"/>
      <c r="C27" s="68"/>
      <c r="D27" s="69"/>
      <c r="E27" s="70"/>
      <c r="F27" s="71"/>
      <c r="G27" s="71"/>
      <c r="H27" s="132"/>
      <c r="I27" s="133"/>
      <c r="J27" s="133"/>
      <c r="K27" s="191"/>
      <c r="L27" s="190"/>
      <c r="M27" s="48"/>
      <c r="N27" s="48"/>
      <c r="O27" s="48"/>
      <c r="P27" s="132"/>
      <c r="Q27" s="191"/>
      <c r="R27" s="269"/>
    </row>
    <row r="28" spans="1:18" s="47" customFormat="1" ht="17.100000000000001" customHeight="1" x14ac:dyDescent="0.2">
      <c r="A28" s="272"/>
      <c r="B28" s="188"/>
      <c r="C28" s="295">
        <v>11</v>
      </c>
      <c r="D28" s="296" t="str">
        <f>D816</f>
        <v>LOCACIONES</v>
      </c>
      <c r="E28" s="297"/>
      <c r="F28" s="298"/>
      <c r="G28" s="298"/>
      <c r="H28" s="311">
        <f>H837</f>
        <v>1431125</v>
      </c>
      <c r="I28" s="303">
        <f>I837</f>
        <v>6048</v>
      </c>
      <c r="J28" s="304">
        <f>J837</f>
        <v>1437173</v>
      </c>
      <c r="K28" s="189"/>
      <c r="L28" s="188"/>
      <c r="M28" s="307"/>
      <c r="N28" s="308"/>
      <c r="O28" s="309">
        <f>O837</f>
        <v>0</v>
      </c>
      <c r="P28" s="311">
        <f>SUM(M28:O28)</f>
        <v>0</v>
      </c>
      <c r="Q28" s="189"/>
      <c r="R28" s="272"/>
    </row>
    <row r="29" spans="1:18" ht="9" customHeight="1" x14ac:dyDescent="0.2">
      <c r="A29" s="269"/>
      <c r="B29" s="190"/>
      <c r="C29" s="68"/>
      <c r="D29" s="69"/>
      <c r="E29" s="70"/>
      <c r="F29" s="71"/>
      <c r="G29" s="71"/>
      <c r="H29" s="132"/>
      <c r="I29" s="133"/>
      <c r="J29" s="133"/>
      <c r="K29" s="191"/>
      <c r="L29" s="190"/>
      <c r="M29" s="175"/>
      <c r="N29" s="175"/>
      <c r="O29" s="175"/>
      <c r="P29" s="132"/>
      <c r="Q29" s="191"/>
      <c r="R29" s="269"/>
    </row>
    <row r="30" spans="1:18" s="47" customFormat="1" ht="17.100000000000001" customHeight="1" x14ac:dyDescent="0.2">
      <c r="A30" s="272"/>
      <c r="B30" s="188"/>
      <c r="C30" s="295">
        <v>12</v>
      </c>
      <c r="D30" s="296" t="str">
        <f>D839</f>
        <v>MATERIAL DE ARCHIVO</v>
      </c>
      <c r="E30" s="297"/>
      <c r="F30" s="298"/>
      <c r="G30" s="298"/>
      <c r="H30" s="311">
        <f>H842</f>
        <v>20000</v>
      </c>
      <c r="I30" s="303">
        <f>I842</f>
        <v>4200</v>
      </c>
      <c r="J30" s="304">
        <f>J842</f>
        <v>24200</v>
      </c>
      <c r="K30" s="189"/>
      <c r="L30" s="188"/>
      <c r="M30" s="307">
        <f>M842</f>
        <v>0</v>
      </c>
      <c r="N30" s="308"/>
      <c r="O30" s="309">
        <f>O842</f>
        <v>0</v>
      </c>
      <c r="P30" s="311">
        <f>SUM(M30:O30)</f>
        <v>0</v>
      </c>
      <c r="Q30" s="189"/>
      <c r="R30" s="272"/>
    </row>
    <row r="31" spans="1:18" ht="9" customHeight="1" x14ac:dyDescent="0.2">
      <c r="A31" s="269"/>
      <c r="B31" s="190"/>
      <c r="C31" s="68"/>
      <c r="D31" s="69"/>
      <c r="E31" s="70"/>
      <c r="F31" s="71"/>
      <c r="G31" s="71"/>
      <c r="H31" s="132"/>
      <c r="I31" s="133"/>
      <c r="J31" s="133"/>
      <c r="K31" s="191"/>
      <c r="L31" s="190"/>
      <c r="M31" s="48"/>
      <c r="N31" s="48"/>
      <c r="O31" s="48"/>
      <c r="P31" s="132"/>
      <c r="Q31" s="191"/>
      <c r="R31" s="269"/>
    </row>
    <row r="32" spans="1:18" s="47" customFormat="1" ht="17.100000000000001" customHeight="1" x14ac:dyDescent="0.2">
      <c r="A32" s="272"/>
      <c r="B32" s="188"/>
      <c r="C32" s="295">
        <v>13</v>
      </c>
      <c r="D32" s="296" t="str">
        <f>D844</f>
        <v>MUSICA</v>
      </c>
      <c r="E32" s="297"/>
      <c r="F32" s="298"/>
      <c r="G32" s="298"/>
      <c r="H32" s="311">
        <f>H848</f>
        <v>230000</v>
      </c>
      <c r="I32" s="303">
        <f>I848</f>
        <v>0</v>
      </c>
      <c r="J32" s="304">
        <f>J848</f>
        <v>230000</v>
      </c>
      <c r="K32" s="189"/>
      <c r="L32" s="188"/>
      <c r="M32" s="307"/>
      <c r="N32" s="308"/>
      <c r="O32" s="309"/>
      <c r="P32" s="311">
        <f>SUM(M32:O32)</f>
        <v>0</v>
      </c>
      <c r="Q32" s="189"/>
      <c r="R32" s="272"/>
    </row>
    <row r="33" spans="1:18" ht="9" customHeight="1" x14ac:dyDescent="0.2">
      <c r="A33" s="269"/>
      <c r="B33" s="190"/>
      <c r="C33" s="68"/>
      <c r="D33" s="69"/>
      <c r="E33" s="70"/>
      <c r="F33" s="71"/>
      <c r="G33" s="71"/>
      <c r="H33" s="132"/>
      <c r="I33" s="133"/>
      <c r="J33" s="133"/>
      <c r="K33" s="191"/>
      <c r="L33" s="190"/>
      <c r="M33" s="175"/>
      <c r="N33" s="175"/>
      <c r="O33" s="175"/>
      <c r="P33" s="132"/>
      <c r="Q33" s="191"/>
      <c r="R33" s="269"/>
    </row>
    <row r="34" spans="1:18" s="47" customFormat="1" ht="17.100000000000001" customHeight="1" x14ac:dyDescent="0.2">
      <c r="A34" s="272"/>
      <c r="B34" s="188"/>
      <c r="C34" s="295">
        <v>14</v>
      </c>
      <c r="D34" s="296" t="str">
        <f>D850</f>
        <v>MATERIAL VIRGEN</v>
      </c>
      <c r="E34" s="297"/>
      <c r="F34" s="298"/>
      <c r="G34" s="298"/>
      <c r="H34" s="311">
        <f>H855</f>
        <v>29400</v>
      </c>
      <c r="I34" s="303">
        <f>I855</f>
        <v>6174</v>
      </c>
      <c r="J34" s="304">
        <f>J855</f>
        <v>35574</v>
      </c>
      <c r="K34" s="189"/>
      <c r="L34" s="188"/>
      <c r="M34" s="307"/>
      <c r="N34" s="308">
        <f>N855</f>
        <v>0</v>
      </c>
      <c r="O34" s="309"/>
      <c r="P34" s="311">
        <f>SUM(M34:O34)</f>
        <v>0</v>
      </c>
      <c r="Q34" s="189"/>
      <c r="R34" s="272"/>
    </row>
    <row r="35" spans="1:18" ht="9" customHeight="1" x14ac:dyDescent="0.2">
      <c r="A35" s="269"/>
      <c r="B35" s="190"/>
      <c r="C35" s="68"/>
      <c r="D35" s="69"/>
      <c r="E35" s="70"/>
      <c r="F35" s="71"/>
      <c r="G35" s="71"/>
      <c r="H35" s="132"/>
      <c r="I35" s="133"/>
      <c r="J35" s="133"/>
      <c r="K35" s="191"/>
      <c r="L35" s="190"/>
      <c r="M35" s="48"/>
      <c r="N35" s="48"/>
      <c r="O35" s="48"/>
      <c r="P35" s="132"/>
      <c r="Q35" s="191"/>
      <c r="R35" s="269"/>
    </row>
    <row r="36" spans="1:18" s="47" customFormat="1" ht="17.100000000000001" customHeight="1" x14ac:dyDescent="0.2">
      <c r="A36" s="272"/>
      <c r="B36" s="188"/>
      <c r="C36" s="295">
        <v>15</v>
      </c>
      <c r="D36" s="296" t="str">
        <f>D857</f>
        <v>PROCESO DE POST-PRODUCCIÓN DE AUDIO Y VIDEO</v>
      </c>
      <c r="E36" s="297"/>
      <c r="F36" s="298"/>
      <c r="G36" s="298"/>
      <c r="H36" s="311">
        <f>+H862</f>
        <v>1200000</v>
      </c>
      <c r="I36" s="303">
        <f>+I862</f>
        <v>252000</v>
      </c>
      <c r="J36" s="304">
        <f>+J862</f>
        <v>1452000</v>
      </c>
      <c r="K36" s="189"/>
      <c r="L36" s="188"/>
      <c r="M36" s="307">
        <v>0</v>
      </c>
      <c r="N36" s="308"/>
      <c r="O36" s="309"/>
      <c r="P36" s="311">
        <f>SUM(M36:O36)</f>
        <v>0</v>
      </c>
      <c r="Q36" s="189"/>
      <c r="R36" s="272"/>
    </row>
    <row r="37" spans="1:18" s="44" customFormat="1" ht="9" customHeight="1" x14ac:dyDescent="0.2">
      <c r="A37" s="274"/>
      <c r="B37" s="437"/>
      <c r="C37" s="68"/>
      <c r="D37" s="449"/>
      <c r="E37" s="70"/>
      <c r="F37" s="71"/>
      <c r="G37" s="71"/>
      <c r="H37" s="447"/>
      <c r="I37" s="448"/>
      <c r="J37" s="448"/>
      <c r="K37" s="438"/>
      <c r="L37" s="437"/>
      <c r="M37" s="175"/>
      <c r="N37" s="175"/>
      <c r="O37" s="175"/>
      <c r="P37" s="447"/>
      <c r="Q37" s="438"/>
      <c r="R37" s="274"/>
    </row>
    <row r="38" spans="1:18" s="47" customFormat="1" ht="17.100000000000001" customHeight="1" x14ac:dyDescent="0.2">
      <c r="A38" s="272"/>
      <c r="B38" s="188"/>
      <c r="C38" s="295">
        <v>16</v>
      </c>
      <c r="D38" s="296" t="str">
        <f>D864</f>
        <v>PAQUETE GRAFICO</v>
      </c>
      <c r="E38" s="297"/>
      <c r="F38" s="298"/>
      <c r="G38" s="298"/>
      <c r="H38" s="311">
        <f>+H869</f>
        <v>100000</v>
      </c>
      <c r="I38" s="303">
        <f>+I869</f>
        <v>21000</v>
      </c>
      <c r="J38" s="304">
        <f>+J869</f>
        <v>121000</v>
      </c>
      <c r="K38" s="189"/>
      <c r="L38" s="188"/>
      <c r="M38" s="307">
        <v>0</v>
      </c>
      <c r="N38" s="308"/>
      <c r="O38" s="309"/>
      <c r="P38" s="311">
        <f>SUM(M38:O38)</f>
        <v>0</v>
      </c>
      <c r="Q38" s="189"/>
      <c r="R38" s="272"/>
    </row>
    <row r="39" spans="1:18" ht="9" customHeight="1" x14ac:dyDescent="0.2">
      <c r="A39" s="269"/>
      <c r="B39" s="190"/>
      <c r="C39" s="68"/>
      <c r="D39" s="69"/>
      <c r="E39" s="70"/>
      <c r="F39" s="71"/>
      <c r="G39" s="71"/>
      <c r="H39" s="132"/>
      <c r="I39" s="133"/>
      <c r="J39" s="133"/>
      <c r="K39" s="191"/>
      <c r="L39" s="190"/>
      <c r="M39" s="175"/>
      <c r="N39" s="175"/>
      <c r="O39" s="175"/>
      <c r="P39" s="132"/>
      <c r="Q39" s="191"/>
      <c r="R39" s="269"/>
    </row>
    <row r="40" spans="1:18" s="47" customFormat="1" ht="17.100000000000001" customHeight="1" x14ac:dyDescent="0.2">
      <c r="A40" s="439"/>
      <c r="B40" s="440"/>
      <c r="C40" s="295">
        <v>17</v>
      </c>
      <c r="D40" s="296" t="str">
        <f>+D872</f>
        <v>EQUIPAMIENTO DE PISO</v>
      </c>
      <c r="E40" s="297"/>
      <c r="F40" s="298"/>
      <c r="G40" s="298"/>
      <c r="H40" s="311">
        <f>+H893</f>
        <v>12130000</v>
      </c>
      <c r="I40" s="442">
        <f>+I893</f>
        <v>2547300</v>
      </c>
      <c r="J40" s="443">
        <f>+J893</f>
        <v>14677300</v>
      </c>
      <c r="K40" s="441"/>
      <c r="L40" s="440"/>
      <c r="M40" s="444"/>
      <c r="N40" s="445"/>
      <c r="O40" s="446">
        <v>0</v>
      </c>
      <c r="P40" s="311">
        <f>SUM(M40:O40)</f>
        <v>0</v>
      </c>
      <c r="Q40" s="441"/>
      <c r="R40" s="439"/>
    </row>
    <row r="41" spans="1:18" ht="9" customHeight="1" x14ac:dyDescent="0.2">
      <c r="A41" s="424"/>
      <c r="B41" s="437"/>
      <c r="C41" s="68"/>
      <c r="D41" s="69"/>
      <c r="E41" s="70"/>
      <c r="F41" s="71"/>
      <c r="G41" s="71"/>
      <c r="H41" s="132"/>
      <c r="I41" s="133"/>
      <c r="J41" s="133"/>
      <c r="K41" s="438"/>
      <c r="L41" s="437"/>
      <c r="M41" s="175"/>
      <c r="N41" s="175"/>
      <c r="O41" s="175"/>
      <c r="P41" s="132"/>
      <c r="Q41" s="438"/>
      <c r="R41" s="424"/>
    </row>
    <row r="42" spans="1:18" s="47" customFormat="1" ht="17.100000000000001" customHeight="1" x14ac:dyDescent="0.2">
      <c r="A42" s="272"/>
      <c r="B42" s="188"/>
      <c r="C42" s="295">
        <v>18</v>
      </c>
      <c r="D42" s="296" t="str">
        <f>D896</f>
        <v>EQUIPOS DE CAMARAS/ LUCES/SONIDO EXTERIORES</v>
      </c>
      <c r="E42" s="297"/>
      <c r="F42" s="298"/>
      <c r="G42" s="298"/>
      <c r="H42" s="311">
        <f>H930</f>
        <v>4362000</v>
      </c>
      <c r="I42" s="303">
        <f>I930</f>
        <v>916020</v>
      </c>
      <c r="J42" s="304">
        <f>J930</f>
        <v>5278020</v>
      </c>
      <c r="K42" s="189"/>
      <c r="L42" s="188"/>
      <c r="M42" s="307"/>
      <c r="N42" s="308"/>
      <c r="O42" s="309"/>
      <c r="P42" s="311">
        <f>SUM(M42:O42)</f>
        <v>0</v>
      </c>
      <c r="Q42" s="189"/>
      <c r="R42" s="272"/>
    </row>
    <row r="43" spans="1:18" ht="9" customHeight="1" x14ac:dyDescent="0.2">
      <c r="A43" s="269"/>
      <c r="B43" s="190"/>
      <c r="C43" s="68"/>
      <c r="D43" s="69"/>
      <c r="E43" s="70"/>
      <c r="F43" s="71"/>
      <c r="G43" s="71"/>
      <c r="H43" s="132"/>
      <c r="I43" s="133"/>
      <c r="J43" s="133"/>
      <c r="K43" s="191"/>
      <c r="L43" s="190"/>
      <c r="M43" s="48"/>
      <c r="N43" s="48"/>
      <c r="O43" s="48"/>
      <c r="P43" s="132"/>
      <c r="Q43" s="191"/>
      <c r="R43" s="269"/>
    </row>
    <row r="44" spans="1:18" s="47" customFormat="1" ht="17.100000000000001" customHeight="1" x14ac:dyDescent="0.2">
      <c r="A44" s="272"/>
      <c r="B44" s="188"/>
      <c r="C44" s="295">
        <v>19</v>
      </c>
      <c r="D44" s="296" t="str">
        <f>D932</f>
        <v>EFECTOS ESPECIALES</v>
      </c>
      <c r="E44" s="297"/>
      <c r="F44" s="298"/>
      <c r="G44" s="298"/>
      <c r="H44" s="311">
        <f>H935</f>
        <v>400000</v>
      </c>
      <c r="I44" s="303">
        <f>I935</f>
        <v>84000</v>
      </c>
      <c r="J44" s="304">
        <f>J935</f>
        <v>484000</v>
      </c>
      <c r="K44" s="189"/>
      <c r="L44" s="188"/>
      <c r="M44" s="307">
        <v>0</v>
      </c>
      <c r="N44" s="308"/>
      <c r="O44" s="309">
        <f>O935</f>
        <v>0</v>
      </c>
      <c r="P44" s="311">
        <f>SUM(M44:O44)</f>
        <v>0</v>
      </c>
      <c r="Q44" s="189"/>
      <c r="R44" s="272"/>
    </row>
    <row r="45" spans="1:18" ht="9" customHeight="1" x14ac:dyDescent="0.2">
      <c r="A45" s="269"/>
      <c r="B45" s="190"/>
      <c r="C45" s="68"/>
      <c r="D45" s="69"/>
      <c r="E45" s="70"/>
      <c r="F45" s="71"/>
      <c r="G45" s="71"/>
      <c r="H45" s="132"/>
      <c r="I45" s="133"/>
      <c r="J45" s="133"/>
      <c r="K45" s="191"/>
      <c r="L45" s="190"/>
      <c r="M45" s="175"/>
      <c r="N45" s="175"/>
      <c r="O45" s="175"/>
      <c r="P45" s="132"/>
      <c r="Q45" s="191"/>
      <c r="R45" s="269"/>
    </row>
    <row r="46" spans="1:18" s="47" customFormat="1" ht="17.100000000000001" customHeight="1" x14ac:dyDescent="0.2">
      <c r="A46" s="272"/>
      <c r="B46" s="188"/>
      <c r="C46" s="295">
        <v>20</v>
      </c>
      <c r="D46" s="296" t="str">
        <f>D937</f>
        <v>MOVILIDAD</v>
      </c>
      <c r="E46" s="297"/>
      <c r="F46" s="298"/>
      <c r="G46" s="298"/>
      <c r="H46" s="311">
        <f>H965</f>
        <v>4855000</v>
      </c>
      <c r="I46" s="303">
        <f>I965</f>
        <v>932400</v>
      </c>
      <c r="J46" s="304">
        <f>J965</f>
        <v>5787400</v>
      </c>
      <c r="K46" s="189"/>
      <c r="L46" s="188"/>
      <c r="M46" s="307"/>
      <c r="N46" s="308"/>
      <c r="O46" s="309"/>
      <c r="P46" s="311">
        <f>SUM(M46:O46)</f>
        <v>0</v>
      </c>
      <c r="Q46" s="189"/>
      <c r="R46" s="272"/>
    </row>
    <row r="47" spans="1:18" ht="9" customHeight="1" x14ac:dyDescent="0.2">
      <c r="A47" s="269"/>
      <c r="B47" s="190"/>
      <c r="C47" s="68"/>
      <c r="D47" s="69"/>
      <c r="E47" s="70"/>
      <c r="F47" s="71"/>
      <c r="G47" s="71"/>
      <c r="H47" s="132"/>
      <c r="I47" s="133"/>
      <c r="J47" s="133"/>
      <c r="K47" s="191"/>
      <c r="L47" s="190"/>
      <c r="M47" s="48"/>
      <c r="N47" s="48"/>
      <c r="O47" s="48"/>
      <c r="P47" s="132"/>
      <c r="Q47" s="191"/>
      <c r="R47" s="269"/>
    </row>
    <row r="48" spans="1:18" s="47" customFormat="1" ht="17.100000000000001" customHeight="1" x14ac:dyDescent="0.2">
      <c r="A48" s="272"/>
      <c r="B48" s="188"/>
      <c r="C48" s="295">
        <v>21</v>
      </c>
      <c r="D48" s="296" t="str">
        <f>D967</f>
        <v>FUERZA MOTRIZ</v>
      </c>
      <c r="E48" s="297"/>
      <c r="F48" s="298"/>
      <c r="G48" s="298"/>
      <c r="H48" s="311">
        <f>H974</f>
        <v>532000</v>
      </c>
      <c r="I48" s="303">
        <f>I974</f>
        <v>111720</v>
      </c>
      <c r="J48" s="304">
        <f>J974</f>
        <v>643720</v>
      </c>
      <c r="K48" s="189"/>
      <c r="L48" s="188"/>
      <c r="M48" s="307"/>
      <c r="N48" s="308"/>
      <c r="O48" s="309"/>
      <c r="P48" s="311">
        <f>SUM(M48:O48)</f>
        <v>0</v>
      </c>
      <c r="Q48" s="189"/>
      <c r="R48" s="272"/>
    </row>
    <row r="49" spans="1:18" ht="9" customHeight="1" x14ac:dyDescent="0.2">
      <c r="A49" s="269"/>
      <c r="B49" s="190"/>
      <c r="C49" s="68"/>
      <c r="D49" s="69"/>
      <c r="E49" s="70"/>
      <c r="F49" s="71"/>
      <c r="G49" s="71"/>
      <c r="H49" s="132"/>
      <c r="I49" s="133"/>
      <c r="J49" s="133"/>
      <c r="K49" s="191"/>
      <c r="L49" s="190"/>
      <c r="M49" s="48"/>
      <c r="N49" s="48"/>
      <c r="O49" s="48"/>
      <c r="P49" s="132"/>
      <c r="Q49" s="191"/>
      <c r="R49" s="269"/>
    </row>
    <row r="50" spans="1:18" s="47" customFormat="1" ht="17.100000000000001" customHeight="1" x14ac:dyDescent="0.2">
      <c r="A50" s="272"/>
      <c r="B50" s="188"/>
      <c r="C50" s="295">
        <v>22</v>
      </c>
      <c r="D50" s="296" t="str">
        <f>D976</f>
        <v xml:space="preserve">COMIDAS </v>
      </c>
      <c r="E50" s="297"/>
      <c r="F50" s="298"/>
      <c r="G50" s="298"/>
      <c r="H50" s="311">
        <f>H980</f>
        <v>2160000</v>
      </c>
      <c r="I50" s="303">
        <f>I980</f>
        <v>453600</v>
      </c>
      <c r="J50" s="304">
        <f>J980</f>
        <v>2613600</v>
      </c>
      <c r="K50" s="189"/>
      <c r="L50" s="188"/>
      <c r="M50" s="307"/>
      <c r="N50" s="308"/>
      <c r="O50" s="309">
        <f>O980</f>
        <v>0</v>
      </c>
      <c r="P50" s="311">
        <f>SUM(M50:O50)</f>
        <v>0</v>
      </c>
      <c r="Q50" s="189"/>
      <c r="R50" s="272"/>
    </row>
    <row r="51" spans="1:18" ht="9" customHeight="1" x14ac:dyDescent="0.2">
      <c r="A51" s="269"/>
      <c r="B51" s="190"/>
      <c r="C51" s="68"/>
      <c r="D51" s="69"/>
      <c r="E51" s="70"/>
      <c r="F51" s="71"/>
      <c r="G51" s="71"/>
      <c r="H51" s="132"/>
      <c r="I51" s="133"/>
      <c r="J51" s="133"/>
      <c r="K51" s="191"/>
      <c r="L51" s="190"/>
      <c r="M51" s="175"/>
      <c r="N51" s="175"/>
      <c r="O51" s="175"/>
      <c r="P51" s="132"/>
      <c r="Q51" s="191"/>
      <c r="R51" s="269"/>
    </row>
    <row r="52" spans="1:18" s="47" customFormat="1" ht="17.100000000000001" customHeight="1" x14ac:dyDescent="0.2">
      <c r="A52" s="272"/>
      <c r="B52" s="188"/>
      <c r="C52" s="295">
        <v>23</v>
      </c>
      <c r="D52" s="296" t="str">
        <f>D982</f>
        <v>ADMINISTRACION</v>
      </c>
      <c r="E52" s="297"/>
      <c r="F52" s="298"/>
      <c r="G52" s="298"/>
      <c r="H52" s="311">
        <f>H995</f>
        <v>1158000</v>
      </c>
      <c r="I52" s="303">
        <f>I995</f>
        <v>1158000</v>
      </c>
      <c r="J52" s="304">
        <f>J995</f>
        <v>1313610</v>
      </c>
      <c r="K52" s="189"/>
      <c r="L52" s="188"/>
      <c r="M52" s="307"/>
      <c r="N52" s="308"/>
      <c r="O52" s="309"/>
      <c r="P52" s="311">
        <f>SUM(M52:O52)</f>
        <v>0</v>
      </c>
      <c r="Q52" s="189"/>
      <c r="R52" s="272"/>
    </row>
    <row r="53" spans="1:18" ht="9" customHeight="1" x14ac:dyDescent="0.2">
      <c r="A53" s="269"/>
      <c r="B53" s="190"/>
      <c r="C53" s="68"/>
      <c r="D53" s="69"/>
      <c r="E53" s="70"/>
      <c r="F53" s="71"/>
      <c r="G53" s="71"/>
      <c r="H53" s="132"/>
      <c r="I53" s="133"/>
      <c r="J53" s="133"/>
      <c r="K53" s="191"/>
      <c r="L53" s="190"/>
      <c r="M53" s="48"/>
      <c r="N53" s="48"/>
      <c r="O53" s="48"/>
      <c r="P53" s="132"/>
      <c r="Q53" s="191"/>
      <c r="R53" s="269"/>
    </row>
    <row r="54" spans="1:18" s="47" customFormat="1" ht="17.100000000000001" customHeight="1" x14ac:dyDescent="0.2">
      <c r="A54" s="272"/>
      <c r="B54" s="188"/>
      <c r="C54" s="295">
        <v>24</v>
      </c>
      <c r="D54" s="296" t="str">
        <f>D997</f>
        <v>SEGUROS</v>
      </c>
      <c r="E54" s="297"/>
      <c r="F54" s="298"/>
      <c r="G54" s="298"/>
      <c r="H54" s="311">
        <f>H1002</f>
        <v>437840</v>
      </c>
      <c r="I54" s="303">
        <f>I1002</f>
        <v>91946.4</v>
      </c>
      <c r="J54" s="304">
        <f>J1002</f>
        <v>529786.4</v>
      </c>
      <c r="K54" s="189"/>
      <c r="L54" s="188"/>
      <c r="M54" s="307"/>
      <c r="N54" s="308"/>
      <c r="O54" s="309">
        <v>0</v>
      </c>
      <c r="P54" s="311">
        <f>SUM(M54:O54)</f>
        <v>0</v>
      </c>
      <c r="Q54" s="189"/>
      <c r="R54" s="272"/>
    </row>
    <row r="55" spans="1:18" ht="9" customHeight="1" x14ac:dyDescent="0.2">
      <c r="A55" s="459"/>
      <c r="B55" s="457"/>
      <c r="C55" s="68"/>
      <c r="D55" s="69"/>
      <c r="E55" s="70"/>
      <c r="F55" s="71"/>
      <c r="G55" s="71"/>
      <c r="H55" s="132"/>
      <c r="I55" s="133"/>
      <c r="J55" s="133"/>
      <c r="K55" s="458"/>
      <c r="L55" s="457"/>
      <c r="M55" s="48"/>
      <c r="N55" s="48"/>
      <c r="O55" s="48"/>
      <c r="P55" s="132"/>
      <c r="Q55" s="458"/>
      <c r="R55" s="459"/>
    </row>
    <row r="56" spans="1:18" s="47" customFormat="1" ht="17.100000000000001" customHeight="1" x14ac:dyDescent="0.2">
      <c r="A56" s="439"/>
      <c r="B56" s="188"/>
      <c r="C56" s="295">
        <v>25</v>
      </c>
      <c r="D56" s="296" t="s">
        <v>265</v>
      </c>
      <c r="E56" s="297"/>
      <c r="F56" s="298"/>
      <c r="G56" s="298"/>
      <c r="H56" s="311">
        <f>+H1006</f>
        <v>150000</v>
      </c>
      <c r="I56" s="442">
        <f>+I1006</f>
        <v>31500</v>
      </c>
      <c r="J56" s="443">
        <f>+I56+H56</f>
        <v>181500</v>
      </c>
      <c r="K56" s="189"/>
      <c r="L56" s="188"/>
      <c r="M56" s="444">
        <v>0</v>
      </c>
      <c r="N56" s="445"/>
      <c r="O56" s="446">
        <f>O782</f>
        <v>0</v>
      </c>
      <c r="P56" s="311">
        <f>SUM(M56:O56)</f>
        <v>0</v>
      </c>
      <c r="Q56" s="189"/>
      <c r="R56" s="439"/>
    </row>
    <row r="57" spans="1:18" ht="9" customHeight="1" x14ac:dyDescent="0.2">
      <c r="A57" s="459"/>
      <c r="B57" s="457"/>
      <c r="C57" s="68"/>
      <c r="D57" s="69"/>
      <c r="E57" s="70"/>
      <c r="F57" s="71"/>
      <c r="G57" s="71"/>
      <c r="H57" s="132"/>
      <c r="I57" s="133"/>
      <c r="J57" s="133"/>
      <c r="K57" s="458"/>
      <c r="L57" s="457"/>
      <c r="M57" s="48"/>
      <c r="N57" s="48"/>
      <c r="O57" s="48"/>
      <c r="P57" s="132"/>
      <c r="Q57" s="458"/>
      <c r="R57" s="459"/>
    </row>
    <row r="58" spans="1:18" s="47" customFormat="1" ht="17.100000000000001" customHeight="1" x14ac:dyDescent="0.2">
      <c r="A58" s="272"/>
      <c r="B58" s="188"/>
      <c r="C58" s="295">
        <v>26</v>
      </c>
      <c r="D58" s="296" t="str">
        <f>D1008</f>
        <v>SEGURIDAD</v>
      </c>
      <c r="E58" s="297"/>
      <c r="F58" s="298"/>
      <c r="G58" s="298"/>
      <c r="H58" s="311">
        <f>H1010</f>
        <v>135000</v>
      </c>
      <c r="I58" s="303">
        <f>I1010</f>
        <v>0</v>
      </c>
      <c r="J58" s="304">
        <f>J1010</f>
        <v>135000</v>
      </c>
      <c r="K58" s="189"/>
      <c r="L58" s="188"/>
      <c r="M58" s="307">
        <f>M1010</f>
        <v>0</v>
      </c>
      <c r="N58" s="308">
        <f>N1010</f>
        <v>0</v>
      </c>
      <c r="O58" s="309">
        <f>O1010</f>
        <v>0</v>
      </c>
      <c r="P58" s="311">
        <f>SUM(M58:O58)</f>
        <v>0</v>
      </c>
      <c r="Q58" s="189"/>
      <c r="R58" s="272"/>
    </row>
    <row r="59" spans="1:18" ht="9" customHeight="1" x14ac:dyDescent="0.2">
      <c r="A59" s="269"/>
      <c r="B59" s="190"/>
      <c r="C59" s="127"/>
      <c r="D59" s="128"/>
      <c r="E59" s="129"/>
      <c r="F59" s="5"/>
      <c r="G59" s="5"/>
      <c r="H59" s="134"/>
      <c r="I59" s="135"/>
      <c r="J59" s="135"/>
      <c r="K59" s="191"/>
      <c r="L59" s="190"/>
      <c r="M59" s="48"/>
      <c r="N59" s="48"/>
      <c r="O59" s="48"/>
      <c r="P59" s="134"/>
      <c r="Q59" s="191"/>
      <c r="R59" s="269"/>
    </row>
    <row r="60" spans="1:18" s="47" customFormat="1" ht="17.100000000000001" customHeight="1" x14ac:dyDescent="0.2">
      <c r="A60" s="272"/>
      <c r="B60" s="188"/>
      <c r="C60" s="295">
        <v>27</v>
      </c>
      <c r="D60" s="296" t="s">
        <v>236</v>
      </c>
      <c r="E60" s="297"/>
      <c r="F60" s="298"/>
      <c r="G60" s="298"/>
      <c r="H60" s="311">
        <f>+H1016</f>
        <v>6932982.0269111199</v>
      </c>
      <c r="I60" s="303">
        <v>0</v>
      </c>
      <c r="J60" s="304">
        <v>0</v>
      </c>
      <c r="K60" s="189"/>
      <c r="L60" s="188"/>
      <c r="M60" s="307"/>
      <c r="N60" s="308"/>
      <c r="O60" s="309"/>
      <c r="P60" s="311">
        <f>SUM(M60:O60)</f>
        <v>0</v>
      </c>
      <c r="Q60" s="189"/>
      <c r="R60" s="272"/>
    </row>
    <row r="61" spans="1:18" ht="9" customHeight="1" x14ac:dyDescent="0.2">
      <c r="A61" s="269"/>
      <c r="B61" s="190"/>
      <c r="C61" s="127"/>
      <c r="D61" s="128"/>
      <c r="E61" s="129"/>
      <c r="F61" s="5"/>
      <c r="G61" s="5"/>
      <c r="H61" s="134"/>
      <c r="I61" s="135"/>
      <c r="J61" s="135"/>
      <c r="K61" s="191"/>
      <c r="L61" s="190"/>
      <c r="M61" s="48"/>
      <c r="N61" s="48"/>
      <c r="O61" s="48"/>
      <c r="P61" s="134"/>
      <c r="Q61" s="191"/>
      <c r="R61" s="269"/>
    </row>
    <row r="62" spans="1:18" s="47" customFormat="1" ht="17.100000000000001" customHeight="1" x14ac:dyDescent="0.2">
      <c r="A62" s="272"/>
      <c r="B62" s="188"/>
      <c r="C62" s="295">
        <v>28</v>
      </c>
      <c r="D62" s="296" t="s">
        <v>232</v>
      </c>
      <c r="E62" s="297"/>
      <c r="F62" s="298"/>
      <c r="G62" s="298"/>
      <c r="H62" s="311">
        <f>H1019</f>
        <v>3256959.9249504162</v>
      </c>
      <c r="I62" s="303">
        <f>I1013</f>
        <v>0</v>
      </c>
      <c r="J62" s="304">
        <f>J1013</f>
        <v>1341867.4890795716</v>
      </c>
      <c r="K62" s="189"/>
      <c r="L62" s="188"/>
      <c r="M62" s="307"/>
      <c r="N62" s="308"/>
      <c r="O62" s="309"/>
      <c r="P62" s="311">
        <f>SUM(M62:O62)</f>
        <v>0</v>
      </c>
      <c r="Q62" s="189"/>
      <c r="R62" s="272"/>
    </row>
    <row r="63" spans="1:18" ht="9" customHeight="1" thickBot="1" x14ac:dyDescent="0.25">
      <c r="A63" s="269"/>
      <c r="B63" s="190"/>
      <c r="C63" s="127"/>
      <c r="D63" s="128"/>
      <c r="E63" s="129"/>
      <c r="F63" s="5"/>
      <c r="G63" s="5"/>
      <c r="H63" s="134"/>
      <c r="I63" s="135"/>
      <c r="J63" s="135"/>
      <c r="K63" s="191"/>
      <c r="L63" s="190"/>
      <c r="M63" s="48"/>
      <c r="N63" s="48"/>
      <c r="O63" s="48"/>
      <c r="P63" s="134"/>
      <c r="Q63" s="191"/>
      <c r="R63" s="269"/>
    </row>
    <row r="64" spans="1:18" s="51" customFormat="1" ht="20.100000000000001" customHeight="1" thickBot="1" x14ac:dyDescent="0.25">
      <c r="A64" s="273"/>
      <c r="B64" s="192"/>
      <c r="C64" s="268" t="s">
        <v>151</v>
      </c>
      <c r="D64" s="141"/>
      <c r="E64" s="142"/>
      <c r="F64" s="534" t="s">
        <v>95</v>
      </c>
      <c r="G64" s="535"/>
      <c r="H64" s="320">
        <f>SUM(H8+H10+H12+H14+H16+H18+H20+H22+H24+H26+H28+H30+H32+H34+H36+H38+H40+H42+H44+H46+H48+H50+H52+H54+H56+H58+H60+H62)</f>
        <v>110090664.38354208</v>
      </c>
      <c r="I64" s="315">
        <f>SUM(I62+I60+I58+I56+I54+I52+I50+I48+I46+I44+I42+I40+I38+I36+I34+I32+I30+I28+I26+I24+I22+I20+I18+I16+I14+I12+I10+I8)</f>
        <v>9698498.4000000004</v>
      </c>
      <c r="J64" s="316">
        <f>SUM(H64:I64)</f>
        <v>119789162.78354208</v>
      </c>
      <c r="K64" s="193"/>
      <c r="L64" s="192"/>
      <c r="M64" s="317">
        <f>SUM(M8:M62)</f>
        <v>0</v>
      </c>
      <c r="N64" s="318">
        <f>SUM(N8:N62)</f>
        <v>0</v>
      </c>
      <c r="O64" s="319">
        <f>SUM(O8:O62)</f>
        <v>0</v>
      </c>
      <c r="P64" s="320">
        <f>SUM(P8:P62)</f>
        <v>0</v>
      </c>
      <c r="Q64" s="193"/>
      <c r="R64" s="273"/>
    </row>
    <row r="65" spans="1:18" s="51" customFormat="1" ht="20.100000000000001" customHeight="1" thickBot="1" x14ac:dyDescent="0.25">
      <c r="A65" s="273"/>
      <c r="B65" s="281"/>
      <c r="C65" s="268"/>
      <c r="D65" s="141"/>
      <c r="E65" s="142"/>
      <c r="F65" s="283"/>
      <c r="G65" s="505" t="s">
        <v>356</v>
      </c>
      <c r="H65" s="284">
        <f>+H64*0.21</f>
        <v>23119039.520543836</v>
      </c>
      <c r="I65" s="284"/>
      <c r="J65" s="284"/>
      <c r="K65" s="285"/>
      <c r="L65" s="281"/>
      <c r="M65" s="286"/>
      <c r="N65" s="286"/>
      <c r="O65" s="286"/>
      <c r="P65" s="284"/>
      <c r="Q65" s="282"/>
      <c r="R65" s="273"/>
    </row>
    <row r="66" spans="1:18" s="51" customFormat="1" ht="20.100000000000001" customHeight="1" thickBot="1" x14ac:dyDescent="0.25">
      <c r="A66" s="419"/>
      <c r="B66" s="454"/>
      <c r="C66" s="268"/>
      <c r="D66" s="141"/>
      <c r="E66" s="142"/>
      <c r="F66" s="534" t="s">
        <v>357</v>
      </c>
      <c r="G66" s="535"/>
      <c r="H66" s="504">
        <f>+H65+H64</f>
        <v>133209703.9040859</v>
      </c>
      <c r="I66" s="315"/>
      <c r="J66" s="316"/>
      <c r="K66" s="456"/>
      <c r="L66" s="454"/>
      <c r="M66" s="317"/>
      <c r="N66" s="318"/>
      <c r="O66" s="319"/>
      <c r="P66" s="320"/>
      <c r="Q66" s="456"/>
      <c r="R66" s="419"/>
    </row>
    <row r="67" spans="1:18" s="44" customFormat="1" ht="21" customHeight="1" thickBot="1" x14ac:dyDescent="0.25">
      <c r="A67" s="274"/>
      <c r="B67" s="206"/>
      <c r="C67" s="207"/>
      <c r="D67" s="214"/>
      <c r="E67" s="215"/>
      <c r="F67" s="216"/>
      <c r="G67" s="503"/>
      <c r="H67" s="217"/>
      <c r="I67" s="218"/>
      <c r="J67" s="218"/>
      <c r="K67" s="211"/>
      <c r="L67" s="206"/>
      <c r="M67" s="219"/>
      <c r="N67" s="219"/>
      <c r="O67" s="219"/>
      <c r="P67" s="220"/>
      <c r="Q67" s="211"/>
      <c r="R67" s="274"/>
    </row>
    <row r="68" spans="1:18" s="49" customFormat="1" ht="33" customHeight="1" thickTop="1" thickBot="1" x14ac:dyDescent="0.25">
      <c r="A68" s="269"/>
      <c r="B68" s="184"/>
      <c r="C68" s="221"/>
      <c r="D68" s="6"/>
      <c r="E68" s="222"/>
      <c r="F68" s="222"/>
      <c r="G68" s="222"/>
      <c r="H68" s="222"/>
      <c r="I68" s="50"/>
      <c r="J68" s="50"/>
      <c r="K68" s="185"/>
      <c r="L68" s="184"/>
      <c r="M68" s="54"/>
      <c r="N68" s="54"/>
      <c r="O68" s="54"/>
      <c r="P68" s="55"/>
      <c r="Q68" s="185"/>
      <c r="R68" s="269"/>
    </row>
    <row r="69" spans="1:18" s="47" customFormat="1" ht="20.100000000000001" customHeight="1" thickBot="1" x14ac:dyDescent="0.25">
      <c r="A69" s="272"/>
      <c r="B69" s="194"/>
      <c r="C69" s="64"/>
      <c r="D69" s="299" t="s">
        <v>63</v>
      </c>
      <c r="E69" s="222"/>
      <c r="F69" s="222"/>
      <c r="G69" s="222"/>
      <c r="H69" s="222"/>
      <c r="I69" s="126"/>
      <c r="J69" s="126"/>
      <c r="K69" s="195"/>
      <c r="L69" s="194"/>
      <c r="M69" s="539" t="s">
        <v>7</v>
      </c>
      <c r="N69" s="540"/>
      <c r="O69" s="540"/>
      <c r="P69" s="541"/>
      <c r="Q69" s="195"/>
      <c r="R69" s="272"/>
    </row>
    <row r="70" spans="1:18" s="49" customFormat="1" ht="30" customHeight="1" x14ac:dyDescent="0.2">
      <c r="A70" s="269"/>
      <c r="B70" s="184"/>
      <c r="C70" s="65"/>
      <c r="D70" s="6"/>
      <c r="E70" s="7"/>
      <c r="F70" s="8"/>
      <c r="G70" s="8"/>
      <c r="H70" s="9"/>
      <c r="I70" s="50"/>
      <c r="J70" s="50"/>
      <c r="K70" s="185"/>
      <c r="L70" s="184"/>
      <c r="M70" s="54"/>
      <c r="N70" s="54"/>
      <c r="O70" s="54"/>
      <c r="P70" s="55"/>
      <c r="Q70" s="185"/>
      <c r="R70" s="269"/>
    </row>
    <row r="71" spans="1:18" s="51" customFormat="1" ht="15" customHeight="1" x14ac:dyDescent="0.2">
      <c r="A71" s="273"/>
      <c r="B71" s="196"/>
      <c r="C71" s="295">
        <v>1</v>
      </c>
      <c r="D71" s="300" t="s">
        <v>5</v>
      </c>
      <c r="E71" s="323" t="s">
        <v>74</v>
      </c>
      <c r="F71" s="324" t="s">
        <v>38</v>
      </c>
      <c r="G71" s="325" t="s">
        <v>39</v>
      </c>
      <c r="H71" s="321" t="s">
        <v>52</v>
      </c>
      <c r="I71" s="326" t="s">
        <v>55</v>
      </c>
      <c r="J71" s="326" t="s">
        <v>130</v>
      </c>
      <c r="K71" s="197"/>
      <c r="L71" s="196"/>
      <c r="M71" s="327" t="s">
        <v>88</v>
      </c>
      <c r="N71" s="327" t="s">
        <v>25</v>
      </c>
      <c r="O71" s="327" t="s">
        <v>54</v>
      </c>
      <c r="P71" s="322" t="s">
        <v>52</v>
      </c>
      <c r="Q71" s="197"/>
      <c r="R71" s="273"/>
    </row>
    <row r="72" spans="1:18" ht="15" customHeight="1" x14ac:dyDescent="0.2">
      <c r="A72" s="269"/>
      <c r="B72" s="190"/>
      <c r="C72" s="63"/>
      <c r="D72" s="257" t="s">
        <v>123</v>
      </c>
      <c r="E72" s="136" t="s">
        <v>117</v>
      </c>
      <c r="F72" s="33">
        <v>0</v>
      </c>
      <c r="G72" s="137">
        <v>0</v>
      </c>
      <c r="H72" s="28">
        <f t="shared" ref="H72:H77" si="0">F72*G72</f>
        <v>0</v>
      </c>
      <c r="I72" s="145">
        <v>0</v>
      </c>
      <c r="J72" s="145">
        <f t="shared" ref="J72:J77" si="1">H72+I72</f>
        <v>0</v>
      </c>
      <c r="K72" s="191"/>
      <c r="L72" s="190"/>
      <c r="M72" s="28">
        <f t="shared" ref="M72:M77" si="2">J72</f>
        <v>0</v>
      </c>
      <c r="N72" s="30"/>
      <c r="O72" s="28"/>
      <c r="P72" s="31"/>
      <c r="Q72" s="191"/>
      <c r="R72" s="269"/>
    </row>
    <row r="73" spans="1:18" ht="15" customHeight="1" x14ac:dyDescent="0.2">
      <c r="A73" s="269"/>
      <c r="B73" s="190"/>
      <c r="C73" s="63"/>
      <c r="D73" s="258" t="s">
        <v>159</v>
      </c>
      <c r="E73" s="90" t="s">
        <v>117</v>
      </c>
      <c r="F73" s="26">
        <v>40000</v>
      </c>
      <c r="G73" s="17">
        <v>60</v>
      </c>
      <c r="H73" s="28">
        <f>F73*G73</f>
        <v>2400000</v>
      </c>
      <c r="I73" s="145">
        <f>+H73*21%</f>
        <v>504000</v>
      </c>
      <c r="J73" s="145">
        <f t="shared" si="1"/>
        <v>2904000</v>
      </c>
      <c r="K73" s="191"/>
      <c r="L73" s="190"/>
      <c r="M73" s="28"/>
      <c r="N73" s="30"/>
      <c r="O73" s="28"/>
      <c r="P73" s="31"/>
      <c r="Q73" s="191"/>
      <c r="R73" s="269"/>
    </row>
    <row r="74" spans="1:18" ht="15" customHeight="1" x14ac:dyDescent="0.2">
      <c r="A74" s="269"/>
      <c r="B74" s="190"/>
      <c r="C74" s="63"/>
      <c r="D74" s="258" t="s">
        <v>91</v>
      </c>
      <c r="E74" s="90" t="s">
        <v>117</v>
      </c>
      <c r="F74" s="27">
        <v>0</v>
      </c>
      <c r="G74" s="17">
        <v>0</v>
      </c>
      <c r="H74" s="28">
        <f t="shared" si="0"/>
        <v>0</v>
      </c>
      <c r="I74" s="145">
        <v>0</v>
      </c>
      <c r="J74" s="145">
        <f t="shared" si="1"/>
        <v>0</v>
      </c>
      <c r="K74" s="191"/>
      <c r="L74" s="190"/>
      <c r="M74" s="28">
        <f t="shared" si="2"/>
        <v>0</v>
      </c>
      <c r="N74" s="30"/>
      <c r="O74" s="28"/>
      <c r="P74" s="31"/>
      <c r="Q74" s="191"/>
      <c r="R74" s="269"/>
    </row>
    <row r="75" spans="1:18" ht="15" customHeight="1" x14ac:dyDescent="0.2">
      <c r="A75" s="269"/>
      <c r="B75" s="190"/>
      <c r="C75" s="63"/>
      <c r="D75" s="259" t="s">
        <v>122</v>
      </c>
      <c r="E75" s="90" t="s">
        <v>117</v>
      </c>
      <c r="F75" s="28">
        <v>0</v>
      </c>
      <c r="G75" s="17">
        <v>0</v>
      </c>
      <c r="H75" s="28">
        <f t="shared" si="0"/>
        <v>0</v>
      </c>
      <c r="I75" s="145">
        <v>0</v>
      </c>
      <c r="J75" s="145">
        <f t="shared" si="1"/>
        <v>0</v>
      </c>
      <c r="K75" s="191"/>
      <c r="L75" s="190"/>
      <c r="M75" s="28">
        <f t="shared" si="2"/>
        <v>0</v>
      </c>
      <c r="N75" s="30"/>
      <c r="O75" s="28"/>
      <c r="P75" s="31"/>
      <c r="Q75" s="191"/>
      <c r="R75" s="269"/>
    </row>
    <row r="76" spans="1:18" ht="15" customHeight="1" x14ac:dyDescent="0.2">
      <c r="A76" s="269"/>
      <c r="B76" s="190"/>
      <c r="C76" s="63"/>
      <c r="D76" s="258" t="s">
        <v>47</v>
      </c>
      <c r="E76" s="90" t="s">
        <v>118</v>
      </c>
      <c r="F76" s="28">
        <v>0</v>
      </c>
      <c r="G76" s="17">
        <v>0</v>
      </c>
      <c r="H76" s="28">
        <f t="shared" si="0"/>
        <v>0</v>
      </c>
      <c r="I76" s="145">
        <v>0</v>
      </c>
      <c r="J76" s="145">
        <f t="shared" si="1"/>
        <v>0</v>
      </c>
      <c r="K76" s="191"/>
      <c r="L76" s="190"/>
      <c r="M76" s="28">
        <f t="shared" si="2"/>
        <v>0</v>
      </c>
      <c r="N76" s="30"/>
      <c r="O76" s="28"/>
      <c r="P76" s="31"/>
      <c r="Q76" s="191"/>
      <c r="R76" s="269"/>
    </row>
    <row r="77" spans="1:18" ht="15" customHeight="1" x14ac:dyDescent="0.2">
      <c r="A77" s="269"/>
      <c r="B77" s="190"/>
      <c r="C77" s="63"/>
      <c r="D77" s="258" t="s">
        <v>62</v>
      </c>
      <c r="E77" s="90" t="s">
        <v>117</v>
      </c>
      <c r="F77" s="28">
        <v>0</v>
      </c>
      <c r="G77" s="17">
        <v>0</v>
      </c>
      <c r="H77" s="28">
        <f t="shared" si="0"/>
        <v>0</v>
      </c>
      <c r="I77" s="145">
        <v>0</v>
      </c>
      <c r="J77" s="145">
        <f t="shared" si="1"/>
        <v>0</v>
      </c>
      <c r="K77" s="191"/>
      <c r="L77" s="190"/>
      <c r="M77" s="28">
        <f t="shared" si="2"/>
        <v>0</v>
      </c>
      <c r="N77" s="30"/>
      <c r="O77" s="28"/>
      <c r="P77" s="31"/>
      <c r="Q77" s="191"/>
      <c r="R77" s="269"/>
    </row>
    <row r="78" spans="1:18" s="51" customFormat="1" ht="15" customHeight="1" x14ac:dyDescent="0.2">
      <c r="A78" s="273"/>
      <c r="B78" s="192"/>
      <c r="C78" s="140">
        <f>SUM(C72:C77)</f>
        <v>0</v>
      </c>
      <c r="D78" s="139"/>
      <c r="E78" s="102"/>
      <c r="F78" s="532" t="s">
        <v>80</v>
      </c>
      <c r="G78" s="533" t="s">
        <v>95</v>
      </c>
      <c r="H78" s="332">
        <f>SUM(H72:H77)</f>
        <v>2400000</v>
      </c>
      <c r="I78" s="328">
        <f>SUM(I72:I77)</f>
        <v>504000</v>
      </c>
      <c r="J78" s="328">
        <f>SUM(J72:J77)</f>
        <v>2904000</v>
      </c>
      <c r="K78" s="282"/>
      <c r="L78" s="281"/>
      <c r="M78" s="329">
        <f>SUM(M72:M77)</f>
        <v>0</v>
      </c>
      <c r="N78" s="330">
        <f>SUM(N72:N77)</f>
        <v>0</v>
      </c>
      <c r="O78" s="331">
        <f>SUM(O72:O77)</f>
        <v>0</v>
      </c>
      <c r="P78" s="333">
        <f>SUM(M78:O78)</f>
        <v>0</v>
      </c>
      <c r="Q78" s="193"/>
      <c r="R78" s="273"/>
    </row>
    <row r="79" spans="1:18" s="49" customFormat="1" ht="30" customHeight="1" x14ac:dyDescent="0.2">
      <c r="A79" s="269"/>
      <c r="B79" s="184"/>
      <c r="C79" s="65"/>
      <c r="D79" s="6"/>
      <c r="E79" s="7"/>
      <c r="F79" s="8"/>
      <c r="G79" s="8"/>
      <c r="H79" s="9"/>
      <c r="I79" s="50"/>
      <c r="J79" s="50"/>
      <c r="K79" s="185"/>
      <c r="L79" s="184"/>
      <c r="M79" s="54"/>
      <c r="N79" s="54"/>
      <c r="O79" s="54"/>
      <c r="P79" s="55"/>
      <c r="Q79" s="185"/>
      <c r="R79" s="269"/>
    </row>
    <row r="80" spans="1:18" s="51" customFormat="1" ht="15" customHeight="1" x14ac:dyDescent="0.2">
      <c r="A80" s="273"/>
      <c r="B80" s="196"/>
      <c r="C80" s="295">
        <v>2</v>
      </c>
      <c r="D80" s="300" t="s">
        <v>36</v>
      </c>
      <c r="E80" s="323" t="s">
        <v>74</v>
      </c>
      <c r="F80" s="324" t="s">
        <v>38</v>
      </c>
      <c r="G80" s="325" t="s">
        <v>39</v>
      </c>
      <c r="H80" s="321" t="s">
        <v>52</v>
      </c>
      <c r="I80" s="326" t="s">
        <v>55</v>
      </c>
      <c r="J80" s="326" t="s">
        <v>130</v>
      </c>
      <c r="K80" s="197"/>
      <c r="L80" s="196"/>
      <c r="M80" s="327" t="s">
        <v>88</v>
      </c>
      <c r="N80" s="327" t="s">
        <v>25</v>
      </c>
      <c r="O80" s="327" t="s">
        <v>54</v>
      </c>
      <c r="P80" s="322" t="s">
        <v>52</v>
      </c>
      <c r="Q80" s="197"/>
      <c r="R80" s="273"/>
    </row>
    <row r="81" spans="1:18" s="52" customFormat="1" ht="15" customHeight="1" x14ac:dyDescent="0.2">
      <c r="A81" s="269"/>
      <c r="B81" s="190"/>
      <c r="C81" s="13">
        <v>1</v>
      </c>
      <c r="D81" s="258" t="s">
        <v>328</v>
      </c>
      <c r="E81" s="90" t="s">
        <v>117</v>
      </c>
      <c r="F81" s="28">
        <v>250000</v>
      </c>
      <c r="G81" s="138">
        <v>8</v>
      </c>
      <c r="H81" s="35">
        <f>F81*G81*C81</f>
        <v>2000000</v>
      </c>
      <c r="I81" s="83">
        <f>H81*21%</f>
        <v>420000</v>
      </c>
      <c r="J81" s="83">
        <f>SUM(H81:I81)</f>
        <v>2420000</v>
      </c>
      <c r="K81" s="191"/>
      <c r="L81" s="190"/>
      <c r="M81" s="28"/>
      <c r="N81" s="28"/>
      <c r="O81" s="28">
        <f>H81-M81-N81</f>
        <v>2000000</v>
      </c>
      <c r="P81" s="31"/>
      <c r="Q81" s="191"/>
      <c r="R81" s="269"/>
    </row>
    <row r="82" spans="1:18" s="52" customFormat="1" ht="15" customHeight="1" x14ac:dyDescent="0.2">
      <c r="A82" s="269"/>
      <c r="B82" s="190"/>
      <c r="C82" s="13">
        <v>1</v>
      </c>
      <c r="D82" s="258" t="s">
        <v>242</v>
      </c>
      <c r="E82" s="90" t="s">
        <v>117</v>
      </c>
      <c r="F82" s="28">
        <v>250000</v>
      </c>
      <c r="G82" s="138">
        <v>6</v>
      </c>
      <c r="H82" s="35">
        <f>F82*G82*C82</f>
        <v>1500000</v>
      </c>
      <c r="I82" s="83">
        <f>H82*21%</f>
        <v>315000</v>
      </c>
      <c r="J82" s="83">
        <f>SUM(H82:I82)</f>
        <v>1815000</v>
      </c>
      <c r="K82" s="191"/>
      <c r="L82" s="190"/>
      <c r="M82" s="28"/>
      <c r="N82" s="28"/>
      <c r="O82" s="28"/>
      <c r="P82" s="31"/>
      <c r="Q82" s="191"/>
      <c r="R82" s="269"/>
    </row>
    <row r="83" spans="1:18" s="52" customFormat="1" ht="15" customHeight="1" x14ac:dyDescent="0.2">
      <c r="A83" s="269"/>
      <c r="B83" s="190"/>
      <c r="C83" s="13"/>
      <c r="D83" s="258" t="s">
        <v>11</v>
      </c>
      <c r="E83" s="90" t="s">
        <v>117</v>
      </c>
      <c r="F83" s="28">
        <v>0</v>
      </c>
      <c r="G83" s="138">
        <v>0</v>
      </c>
      <c r="H83" s="35">
        <f>F83*G83</f>
        <v>0</v>
      </c>
      <c r="I83" s="83">
        <v>0</v>
      </c>
      <c r="J83" s="83">
        <f>H83</f>
        <v>0</v>
      </c>
      <c r="K83" s="191"/>
      <c r="L83" s="190"/>
      <c r="M83" s="28"/>
      <c r="N83" s="28">
        <f>J83</f>
        <v>0</v>
      </c>
      <c r="O83" s="28"/>
      <c r="P83" s="31"/>
      <c r="Q83" s="191"/>
      <c r="R83" s="269"/>
    </row>
    <row r="84" spans="1:18" s="51" customFormat="1" ht="15" customHeight="1" x14ac:dyDescent="0.2">
      <c r="A84" s="273"/>
      <c r="B84" s="192"/>
      <c r="C84" s="140">
        <f>SUM(C81:C83)</f>
        <v>2</v>
      </c>
      <c r="D84" s="139"/>
      <c r="E84" s="102"/>
      <c r="F84" s="532" t="s">
        <v>81</v>
      </c>
      <c r="G84" s="533" t="s">
        <v>95</v>
      </c>
      <c r="H84" s="332">
        <f>SUM(H81:H83)</f>
        <v>3500000</v>
      </c>
      <c r="I84" s="328">
        <f>SUM(I81:I83)</f>
        <v>735000</v>
      </c>
      <c r="J84" s="328">
        <f>SUM(J81:J83)</f>
        <v>4235000</v>
      </c>
      <c r="K84" s="282"/>
      <c r="L84" s="281"/>
      <c r="M84" s="329">
        <f>SUM(M81:M83)</f>
        <v>0</v>
      </c>
      <c r="N84" s="330">
        <f>SUM(N81:N83)</f>
        <v>0</v>
      </c>
      <c r="O84" s="331">
        <f>SUM(O81:O83)</f>
        <v>2000000</v>
      </c>
      <c r="P84" s="333">
        <f>SUM(M84:O84)</f>
        <v>2000000</v>
      </c>
      <c r="Q84" s="193"/>
      <c r="R84" s="273"/>
    </row>
    <row r="85" spans="1:18" s="49" customFormat="1" ht="30" customHeight="1" x14ac:dyDescent="0.2">
      <c r="A85" s="269"/>
      <c r="B85" s="184"/>
      <c r="C85" s="65"/>
      <c r="D85" s="6"/>
      <c r="E85" s="7"/>
      <c r="F85" s="8"/>
      <c r="G85" s="8"/>
      <c r="H85" s="9"/>
      <c r="I85" s="50"/>
      <c r="J85" s="50"/>
      <c r="K85" s="185"/>
      <c r="L85" s="184"/>
      <c r="M85" s="54"/>
      <c r="N85" s="54"/>
      <c r="O85" s="54"/>
      <c r="P85" s="55"/>
      <c r="Q85" s="185"/>
      <c r="R85" s="269"/>
    </row>
    <row r="86" spans="1:18" s="51" customFormat="1" ht="15" customHeight="1" x14ac:dyDescent="0.2">
      <c r="A86" s="273"/>
      <c r="B86" s="196"/>
      <c r="C86" s="295">
        <v>3</v>
      </c>
      <c r="D86" s="300" t="s">
        <v>37</v>
      </c>
      <c r="E86" s="323" t="s">
        <v>74</v>
      </c>
      <c r="F86" s="324" t="s">
        <v>38</v>
      </c>
      <c r="G86" s="325" t="s">
        <v>39</v>
      </c>
      <c r="H86" s="321" t="s">
        <v>52</v>
      </c>
      <c r="I86" s="326" t="s">
        <v>55</v>
      </c>
      <c r="J86" s="326" t="s">
        <v>130</v>
      </c>
      <c r="K86" s="197"/>
      <c r="L86" s="196"/>
      <c r="M86" s="327" t="s">
        <v>88</v>
      </c>
      <c r="N86" s="327" t="s">
        <v>25</v>
      </c>
      <c r="O86" s="327" t="s">
        <v>54</v>
      </c>
      <c r="P86" s="322" t="s">
        <v>52</v>
      </c>
      <c r="Q86" s="197"/>
      <c r="R86" s="273"/>
    </row>
    <row r="87" spans="1:18" s="52" customFormat="1" ht="15" customHeight="1" x14ac:dyDescent="0.2">
      <c r="A87" s="269"/>
      <c r="B87" s="190"/>
      <c r="C87" s="63"/>
      <c r="D87" s="258" t="s">
        <v>283</v>
      </c>
      <c r="E87" s="90" t="s">
        <v>117</v>
      </c>
      <c r="F87" s="28"/>
      <c r="G87" s="17">
        <v>0</v>
      </c>
      <c r="H87" s="28">
        <f>F87*G87</f>
        <v>0</v>
      </c>
      <c r="I87" s="83">
        <v>0</v>
      </c>
      <c r="J87" s="83">
        <f>H87</f>
        <v>0</v>
      </c>
      <c r="K87" s="191"/>
      <c r="L87" s="190"/>
      <c r="M87" s="28">
        <f>H87*30%</f>
        <v>0</v>
      </c>
      <c r="N87" s="28">
        <f>H87*40%</f>
        <v>0</v>
      </c>
      <c r="O87" s="28">
        <f>H87*30%</f>
        <v>0</v>
      </c>
      <c r="P87" s="31"/>
      <c r="Q87" s="191"/>
      <c r="R87" s="269"/>
    </row>
    <row r="88" spans="1:18" s="52" customFormat="1" ht="15" customHeight="1" x14ac:dyDescent="0.2">
      <c r="A88" s="269"/>
      <c r="B88" s="190"/>
      <c r="C88" s="13">
        <v>1</v>
      </c>
      <c r="D88" s="258" t="s">
        <v>41</v>
      </c>
      <c r="E88" s="90" t="s">
        <v>117</v>
      </c>
      <c r="F88" s="28">
        <v>150000</v>
      </c>
      <c r="G88" s="138">
        <v>7</v>
      </c>
      <c r="H88" s="35">
        <f>F88*G88*C88</f>
        <v>1050000</v>
      </c>
      <c r="I88" s="83">
        <f>H88*21%</f>
        <v>220500</v>
      </c>
      <c r="J88" s="83">
        <f>H88+I88</f>
        <v>1270500</v>
      </c>
      <c r="K88" s="191"/>
      <c r="L88" s="190"/>
      <c r="M88" s="28"/>
      <c r="N88" s="28"/>
      <c r="O88" s="28"/>
      <c r="P88" s="31"/>
      <c r="Q88" s="191"/>
      <c r="R88" s="269"/>
    </row>
    <row r="89" spans="1:18" s="51" customFormat="1" ht="15" customHeight="1" x14ac:dyDescent="0.2">
      <c r="A89" s="273"/>
      <c r="B89" s="192"/>
      <c r="C89" s="140">
        <f>SUM(C87:C88)</f>
        <v>1</v>
      </c>
      <c r="D89" s="139"/>
      <c r="E89" s="102"/>
      <c r="F89" s="532" t="s">
        <v>82</v>
      </c>
      <c r="G89" s="533" t="s">
        <v>95</v>
      </c>
      <c r="H89" s="332">
        <f>SUM(H87:H88)</f>
        <v>1050000</v>
      </c>
      <c r="I89" s="328">
        <f>SUM(I87:I88)</f>
        <v>220500</v>
      </c>
      <c r="J89" s="328">
        <f>SUM(J87:J88)</f>
        <v>1270500</v>
      </c>
      <c r="K89" s="282"/>
      <c r="L89" s="281"/>
      <c r="M89" s="329">
        <f>SUM(M87:M88)</f>
        <v>0</v>
      </c>
      <c r="N89" s="330">
        <f>SUM(N87:N88)</f>
        <v>0</v>
      </c>
      <c r="O89" s="331">
        <f>SUM(O87:O88)</f>
        <v>0</v>
      </c>
      <c r="P89" s="333">
        <f>SUM(M89:O89)</f>
        <v>0</v>
      </c>
      <c r="Q89" s="193"/>
      <c r="R89" s="273"/>
    </row>
    <row r="90" spans="1:18" s="49" customFormat="1" ht="30" customHeight="1" x14ac:dyDescent="0.2">
      <c r="A90" s="269"/>
      <c r="B90" s="184"/>
      <c r="C90" s="65"/>
      <c r="D90" s="6"/>
      <c r="E90" s="7"/>
      <c r="F90" s="8"/>
      <c r="G90" s="8"/>
      <c r="H90" s="9"/>
      <c r="I90" s="50"/>
      <c r="J90" s="50"/>
      <c r="K90" s="185"/>
      <c r="L90" s="184"/>
      <c r="M90" s="54"/>
      <c r="N90" s="54"/>
      <c r="O90" s="54"/>
      <c r="P90" s="55"/>
      <c r="Q90" s="185"/>
      <c r="R90" s="269"/>
    </row>
    <row r="91" spans="1:18" s="51" customFormat="1" ht="15" customHeight="1" x14ac:dyDescent="0.2">
      <c r="A91" s="273"/>
      <c r="B91" s="196"/>
      <c r="C91" s="334">
        <v>4</v>
      </c>
      <c r="D91" s="300" t="s">
        <v>138</v>
      </c>
      <c r="E91" s="323" t="s">
        <v>74</v>
      </c>
      <c r="F91" s="324" t="s">
        <v>38</v>
      </c>
      <c r="G91" s="325" t="s">
        <v>39</v>
      </c>
      <c r="H91" s="321" t="s">
        <v>52</v>
      </c>
      <c r="I91" s="326" t="s">
        <v>55</v>
      </c>
      <c r="J91" s="326" t="s">
        <v>130</v>
      </c>
      <c r="K91" s="197"/>
      <c r="L91" s="196"/>
      <c r="M91" s="327" t="s">
        <v>88</v>
      </c>
      <c r="N91" s="327" t="s">
        <v>25</v>
      </c>
      <c r="O91" s="327" t="s">
        <v>54</v>
      </c>
      <c r="P91" s="322" t="s">
        <v>52</v>
      </c>
      <c r="Q91" s="197"/>
      <c r="R91" s="273"/>
    </row>
    <row r="92" spans="1:18" s="89" customFormat="1" ht="15" customHeight="1" x14ac:dyDescent="0.2">
      <c r="A92" s="275"/>
      <c r="B92" s="198"/>
      <c r="C92" s="13"/>
      <c r="D92" s="287" t="s">
        <v>284</v>
      </c>
      <c r="E92" s="95"/>
      <c r="F92" s="84"/>
      <c r="G92" s="85"/>
      <c r="H92" s="156"/>
      <c r="I92" s="53"/>
      <c r="J92" s="53"/>
      <c r="K92" s="199"/>
      <c r="L92" s="198"/>
      <c r="M92" s="87"/>
      <c r="N92" s="79"/>
      <c r="O92" s="79"/>
      <c r="P92" s="88"/>
      <c r="Q92" s="199"/>
      <c r="R92" s="275"/>
    </row>
    <row r="93" spans="1:18" s="89" customFormat="1" ht="15" customHeight="1" x14ac:dyDescent="0.2">
      <c r="A93" s="275"/>
      <c r="B93" s="405"/>
      <c r="C93" s="13"/>
      <c r="D93" s="408" t="s">
        <v>259</v>
      </c>
      <c r="E93" s="95"/>
      <c r="F93" s="84"/>
      <c r="G93" s="85"/>
      <c r="H93" s="406"/>
      <c r="I93" s="53"/>
      <c r="J93" s="53"/>
      <c r="K93" s="407"/>
      <c r="L93" s="405"/>
      <c r="M93" s="87"/>
      <c r="N93" s="79"/>
      <c r="O93" s="79"/>
      <c r="P93" s="88"/>
      <c r="Q93" s="407"/>
      <c r="R93" s="275"/>
    </row>
    <row r="94" spans="1:18" s="89" customFormat="1" ht="15" customHeight="1" x14ac:dyDescent="0.2">
      <c r="A94" s="275"/>
      <c r="B94" s="198"/>
      <c r="C94" s="13">
        <v>1</v>
      </c>
      <c r="D94" s="260" t="s">
        <v>332</v>
      </c>
      <c r="E94" s="77">
        <v>50376.94</v>
      </c>
      <c r="F94" s="241"/>
      <c r="G94" s="52"/>
      <c r="H94" s="242"/>
      <c r="I94" s="243"/>
      <c r="J94" s="146"/>
      <c r="K94" s="199"/>
      <c r="L94" s="198"/>
      <c r="M94" s="87"/>
      <c r="N94" s="79"/>
      <c r="O94" s="79"/>
      <c r="P94" s="88"/>
      <c r="Q94" s="199"/>
      <c r="R94" s="275"/>
    </row>
    <row r="95" spans="1:18" s="89" customFormat="1" x14ac:dyDescent="0.2">
      <c r="A95" s="275"/>
      <c r="B95" s="237"/>
      <c r="C95" s="63"/>
      <c r="D95" s="75" t="s">
        <v>84</v>
      </c>
      <c r="E95" s="77" t="s">
        <v>156</v>
      </c>
      <c r="F95" s="244">
        <f>E94</f>
        <v>50376.94</v>
      </c>
      <c r="G95" s="62">
        <v>3</v>
      </c>
      <c r="H95" s="28">
        <f>+G95*F95</f>
        <v>151130.82</v>
      </c>
      <c r="I95" s="245"/>
      <c r="J95" s="79"/>
      <c r="K95" s="238"/>
      <c r="L95" s="237"/>
      <c r="M95" s="83">
        <f>H95</f>
        <v>151130.82</v>
      </c>
      <c r="N95" s="91"/>
      <c r="O95" s="83"/>
      <c r="P95" s="31"/>
      <c r="Q95" s="238"/>
      <c r="R95" s="275"/>
    </row>
    <row r="96" spans="1:18" s="89" customFormat="1" x14ac:dyDescent="0.2">
      <c r="A96" s="275"/>
      <c r="B96" s="237"/>
      <c r="C96" s="63"/>
      <c r="D96" s="75" t="s">
        <v>77</v>
      </c>
      <c r="E96" s="77" t="s">
        <v>156</v>
      </c>
      <c r="F96" s="244">
        <f>E94</f>
        <v>50376.94</v>
      </c>
      <c r="G96" s="246">
        <v>4</v>
      </c>
      <c r="H96" s="28">
        <f>+G96*F96</f>
        <v>201507.76</v>
      </c>
      <c r="I96" s="245"/>
      <c r="J96" s="79"/>
      <c r="K96" s="238"/>
      <c r="L96" s="237"/>
      <c r="M96" s="83"/>
      <c r="N96" s="91">
        <f>H96</f>
        <v>201507.76</v>
      </c>
      <c r="O96" s="83"/>
      <c r="P96" s="31"/>
      <c r="Q96" s="238"/>
      <c r="R96" s="275"/>
    </row>
    <row r="97" spans="1:18" s="89" customFormat="1" x14ac:dyDescent="0.2">
      <c r="A97" s="275"/>
      <c r="B97" s="237"/>
      <c r="C97" s="63"/>
      <c r="D97" s="75" t="s">
        <v>158</v>
      </c>
      <c r="E97" s="247">
        <v>66</v>
      </c>
      <c r="F97" s="244">
        <f>E94/150*1.5</f>
        <v>503.76940000000002</v>
      </c>
      <c r="G97" s="62">
        <f>+F101</f>
        <v>7.5</v>
      </c>
      <c r="H97" s="28">
        <f>+G97*F97*E97</f>
        <v>249365.853</v>
      </c>
      <c r="I97" s="245"/>
      <c r="J97" s="79"/>
      <c r="K97" s="238"/>
      <c r="L97" s="237"/>
      <c r="M97" s="83"/>
      <c r="N97" s="91">
        <f>H97</f>
        <v>249365.853</v>
      </c>
      <c r="O97" s="83"/>
      <c r="P97" s="31"/>
      <c r="Q97" s="238"/>
      <c r="R97" s="275"/>
    </row>
    <row r="98" spans="1:18" s="89" customFormat="1" x14ac:dyDescent="0.2">
      <c r="A98" s="275"/>
      <c r="B98" s="237"/>
      <c r="C98" s="63"/>
      <c r="D98" s="75" t="s">
        <v>14</v>
      </c>
      <c r="E98" s="10" t="s">
        <v>119</v>
      </c>
      <c r="F98" s="244">
        <v>0</v>
      </c>
      <c r="G98" s="28">
        <f>$H$3</f>
        <v>80</v>
      </c>
      <c r="H98" s="28">
        <f>+G98*F98</f>
        <v>0</v>
      </c>
      <c r="I98" s="245"/>
      <c r="J98" s="79"/>
      <c r="K98" s="238"/>
      <c r="L98" s="237"/>
      <c r="M98" s="83"/>
      <c r="N98" s="91">
        <f>H98</f>
        <v>0</v>
      </c>
      <c r="O98" s="83"/>
      <c r="P98" s="31"/>
      <c r="Q98" s="238"/>
      <c r="R98" s="275"/>
    </row>
    <row r="99" spans="1:18" s="89" customFormat="1" x14ac:dyDescent="0.2">
      <c r="A99" s="275"/>
      <c r="B99" s="237"/>
      <c r="C99" s="63"/>
      <c r="D99" s="75" t="s">
        <v>16</v>
      </c>
      <c r="E99" s="10" t="s">
        <v>119</v>
      </c>
      <c r="F99" s="244">
        <v>0</v>
      </c>
      <c r="G99" s="28">
        <f>$H$4</f>
        <v>40</v>
      </c>
      <c r="H99" s="28">
        <f>+G99*F99</f>
        <v>0</v>
      </c>
      <c r="I99" s="245"/>
      <c r="J99" s="79"/>
      <c r="K99" s="238"/>
      <c r="L99" s="237"/>
      <c r="M99" s="83"/>
      <c r="N99" s="91">
        <f>H99</f>
        <v>0</v>
      </c>
      <c r="O99" s="83"/>
      <c r="P99" s="31"/>
      <c r="Q99" s="238"/>
      <c r="R99" s="275"/>
    </row>
    <row r="100" spans="1:18" s="89" customFormat="1" x14ac:dyDescent="0.2">
      <c r="A100" s="275"/>
      <c r="B100" s="237"/>
      <c r="C100" s="63"/>
      <c r="D100" s="75" t="s">
        <v>13</v>
      </c>
      <c r="E100" s="77" t="s">
        <v>60</v>
      </c>
      <c r="F100" s="244">
        <f>E94</f>
        <v>50376.94</v>
      </c>
      <c r="G100" s="62">
        <v>0.5</v>
      </c>
      <c r="H100" s="28">
        <f>+G100*F100</f>
        <v>25188.47</v>
      </c>
      <c r="I100" s="245"/>
      <c r="J100" s="79"/>
      <c r="K100" s="238"/>
      <c r="L100" s="237"/>
      <c r="M100" s="83"/>
      <c r="N100" s="91"/>
      <c r="O100" s="83">
        <f>SUM(H100)</f>
        <v>25188.47</v>
      </c>
      <c r="P100" s="31"/>
      <c r="Q100" s="238"/>
      <c r="R100" s="275"/>
    </row>
    <row r="101" spans="1:18" s="89" customFormat="1" x14ac:dyDescent="0.2">
      <c r="A101" s="275"/>
      <c r="B101" s="237"/>
      <c r="C101" s="63"/>
      <c r="D101" s="469" t="s">
        <v>157</v>
      </c>
      <c r="E101" s="494" t="s">
        <v>117</v>
      </c>
      <c r="F101" s="497">
        <f>+G95+G96+G100</f>
        <v>7.5</v>
      </c>
      <c r="G101" s="248" t="s">
        <v>143</v>
      </c>
      <c r="H101" s="249">
        <f>SUM(H95:H100)</f>
        <v>627192.90299999993</v>
      </c>
      <c r="I101" s="245"/>
      <c r="J101" s="79"/>
      <c r="K101" s="238"/>
      <c r="L101" s="237"/>
      <c r="M101" s="239"/>
      <c r="N101" s="240"/>
      <c r="O101" s="91"/>
      <c r="P101" s="31"/>
      <c r="Q101" s="238"/>
      <c r="R101" s="275"/>
    </row>
    <row r="102" spans="1:18" s="89" customFormat="1" x14ac:dyDescent="0.2">
      <c r="A102" s="275"/>
      <c r="B102" s="237"/>
      <c r="C102" s="63"/>
      <c r="D102" s="487" t="s">
        <v>142</v>
      </c>
      <c r="E102" s="494" t="s">
        <v>117</v>
      </c>
      <c r="F102" s="474">
        <f>+E94+(F97*69)</f>
        <v>85137.028600000005</v>
      </c>
      <c r="G102" s="498"/>
      <c r="H102" s="249">
        <f>+((F102/2)*F101)/6</f>
        <v>53210.642874999998</v>
      </c>
      <c r="I102" s="250"/>
      <c r="J102" s="236"/>
      <c r="K102" s="238"/>
      <c r="L102" s="237"/>
      <c r="M102" s="83"/>
      <c r="N102" s="92"/>
      <c r="O102" s="93">
        <f>H102</f>
        <v>53210.642874999998</v>
      </c>
      <c r="P102" s="88"/>
      <c r="Q102" s="238"/>
      <c r="R102" s="275"/>
    </row>
    <row r="103" spans="1:18" s="89" customFormat="1" x14ac:dyDescent="0.2">
      <c r="A103" s="275"/>
      <c r="B103" s="237"/>
      <c r="C103" s="63"/>
      <c r="D103" s="487" t="s">
        <v>191</v>
      </c>
      <c r="E103" s="499" t="s">
        <v>73</v>
      </c>
      <c r="F103" s="474">
        <f>+E94+(F97*69)</f>
        <v>85137.028600000005</v>
      </c>
      <c r="G103" s="479"/>
      <c r="H103" s="249">
        <f>+(F103/30)*((F101*30)/20)</f>
        <v>31926.385725</v>
      </c>
      <c r="I103" s="251">
        <v>0</v>
      </c>
      <c r="J103" s="93">
        <f>+(H101+H102+H103)*C94</f>
        <v>712329.93160000001</v>
      </c>
      <c r="K103" s="238"/>
      <c r="L103" s="237"/>
      <c r="M103" s="83"/>
      <c r="N103" s="92"/>
      <c r="O103" s="93">
        <f>H103</f>
        <v>31926.385725</v>
      </c>
      <c r="P103" s="88"/>
      <c r="Q103" s="238"/>
      <c r="R103" s="275"/>
    </row>
    <row r="104" spans="1:18" s="89" customFormat="1" x14ac:dyDescent="0.2">
      <c r="A104" s="275"/>
      <c r="B104" s="237"/>
      <c r="C104" s="63"/>
      <c r="D104" s="488"/>
      <c r="E104" s="466"/>
      <c r="F104" s="486"/>
      <c r="G104" s="483"/>
      <c r="H104" s="453"/>
      <c r="I104" s="253"/>
      <c r="J104" s="79"/>
      <c r="K104" s="238"/>
      <c r="L104" s="237"/>
      <c r="M104" s="87"/>
      <c r="N104" s="79"/>
      <c r="O104" s="79"/>
      <c r="P104" s="88"/>
      <c r="Q104" s="238"/>
      <c r="R104" s="275"/>
    </row>
    <row r="105" spans="1:18" s="89" customFormat="1" ht="15" customHeight="1" x14ac:dyDescent="0.2">
      <c r="A105" s="275"/>
      <c r="B105" s="198"/>
      <c r="C105" s="13">
        <v>1</v>
      </c>
      <c r="D105" s="264" t="s">
        <v>181</v>
      </c>
      <c r="E105" s="489">
        <v>43881.8</v>
      </c>
      <c r="F105" s="486"/>
      <c r="G105" s="495"/>
      <c r="H105" s="481"/>
      <c r="I105" s="243"/>
      <c r="J105" s="146"/>
      <c r="K105" s="199"/>
      <c r="L105" s="198"/>
      <c r="M105" s="87"/>
      <c r="N105" s="79"/>
      <c r="O105" s="79"/>
      <c r="P105" s="88"/>
      <c r="Q105" s="199"/>
      <c r="R105" s="275"/>
    </row>
    <row r="106" spans="1:18" s="89" customFormat="1" x14ac:dyDescent="0.2">
      <c r="A106" s="275"/>
      <c r="B106" s="200"/>
      <c r="C106" s="63"/>
      <c r="D106" s="469" t="s">
        <v>84</v>
      </c>
      <c r="E106" s="493" t="s">
        <v>156</v>
      </c>
      <c r="F106" s="474">
        <f>E105</f>
        <v>43881.8</v>
      </c>
      <c r="G106" s="482">
        <v>3</v>
      </c>
      <c r="H106" s="249">
        <f>+G106*F106</f>
        <v>131645.40000000002</v>
      </c>
      <c r="I106" s="245"/>
      <c r="J106" s="79"/>
      <c r="K106" s="201"/>
      <c r="L106" s="200"/>
      <c r="M106" s="83">
        <f>H106</f>
        <v>131645.40000000002</v>
      </c>
      <c r="N106" s="91"/>
      <c r="O106" s="83"/>
      <c r="P106" s="31"/>
      <c r="Q106" s="201"/>
      <c r="R106" s="275"/>
    </row>
    <row r="107" spans="1:18" s="89" customFormat="1" x14ac:dyDescent="0.2">
      <c r="A107" s="275"/>
      <c r="B107" s="200"/>
      <c r="C107" s="63"/>
      <c r="D107" s="469" t="s">
        <v>77</v>
      </c>
      <c r="E107" s="493" t="s">
        <v>156</v>
      </c>
      <c r="F107" s="474">
        <f>E105</f>
        <v>43881.8</v>
      </c>
      <c r="G107" s="496">
        <v>4</v>
      </c>
      <c r="H107" s="249">
        <f>+G107*F107</f>
        <v>175527.2</v>
      </c>
      <c r="I107" s="245"/>
      <c r="J107" s="79"/>
      <c r="K107" s="201"/>
      <c r="L107" s="200"/>
      <c r="M107" s="83"/>
      <c r="N107" s="91">
        <f>H107</f>
        <v>175527.2</v>
      </c>
      <c r="O107" s="83"/>
      <c r="P107" s="31"/>
      <c r="Q107" s="201"/>
      <c r="R107" s="275"/>
    </row>
    <row r="108" spans="1:18" s="89" customFormat="1" x14ac:dyDescent="0.2">
      <c r="A108" s="275"/>
      <c r="B108" s="200"/>
      <c r="C108" s="63"/>
      <c r="D108" s="469" t="s">
        <v>158</v>
      </c>
      <c r="E108" s="247">
        <v>66</v>
      </c>
      <c r="F108" s="474">
        <f>E105/150*1.5</f>
        <v>438.81800000000004</v>
      </c>
      <c r="G108" s="482">
        <f>+F112</f>
        <v>7.5</v>
      </c>
      <c r="H108" s="249">
        <f>+G108*F108*E108</f>
        <v>217214.91</v>
      </c>
      <c r="I108" s="245"/>
      <c r="J108" s="79"/>
      <c r="K108" s="201"/>
      <c r="L108" s="200"/>
      <c r="M108" s="83"/>
      <c r="N108" s="91">
        <f>H108</f>
        <v>217214.91</v>
      </c>
      <c r="O108" s="83"/>
      <c r="P108" s="31"/>
      <c r="Q108" s="201"/>
      <c r="R108" s="275"/>
    </row>
    <row r="109" spans="1:18" s="89" customFormat="1" x14ac:dyDescent="0.2">
      <c r="A109" s="275"/>
      <c r="B109" s="200"/>
      <c r="C109" s="63"/>
      <c r="D109" s="469" t="s">
        <v>14</v>
      </c>
      <c r="E109" s="494" t="s">
        <v>119</v>
      </c>
      <c r="F109" s="474">
        <v>0</v>
      </c>
      <c r="G109" s="249">
        <f>$H$3</f>
        <v>80</v>
      </c>
      <c r="H109" s="249">
        <f>+G109*F109</f>
        <v>0</v>
      </c>
      <c r="I109" s="245"/>
      <c r="J109" s="79"/>
      <c r="K109" s="201"/>
      <c r="L109" s="200"/>
      <c r="M109" s="83"/>
      <c r="N109" s="91">
        <f>H109</f>
        <v>0</v>
      </c>
      <c r="O109" s="83"/>
      <c r="P109" s="31"/>
      <c r="Q109" s="201"/>
      <c r="R109" s="275"/>
    </row>
    <row r="110" spans="1:18" s="89" customFormat="1" x14ac:dyDescent="0.2">
      <c r="A110" s="275"/>
      <c r="B110" s="200"/>
      <c r="C110" s="63"/>
      <c r="D110" s="469" t="s">
        <v>16</v>
      </c>
      <c r="E110" s="494" t="s">
        <v>119</v>
      </c>
      <c r="F110" s="474">
        <v>0</v>
      </c>
      <c r="G110" s="249">
        <f>$H$4</f>
        <v>40</v>
      </c>
      <c r="H110" s="249">
        <f>+G110*F110</f>
        <v>0</v>
      </c>
      <c r="I110" s="245"/>
      <c r="J110" s="79"/>
      <c r="K110" s="201"/>
      <c r="L110" s="200"/>
      <c r="M110" s="83"/>
      <c r="N110" s="91">
        <f>H110</f>
        <v>0</v>
      </c>
      <c r="O110" s="83"/>
      <c r="P110" s="31"/>
      <c r="Q110" s="201"/>
      <c r="R110" s="275"/>
    </row>
    <row r="111" spans="1:18" s="89" customFormat="1" x14ac:dyDescent="0.2">
      <c r="A111" s="275"/>
      <c r="B111" s="200"/>
      <c r="C111" s="63"/>
      <c r="D111" s="469" t="s">
        <v>13</v>
      </c>
      <c r="E111" s="493" t="s">
        <v>60</v>
      </c>
      <c r="F111" s="474">
        <f>E105</f>
        <v>43881.8</v>
      </c>
      <c r="G111" s="482">
        <v>0.5</v>
      </c>
      <c r="H111" s="249">
        <f>+G111*F111</f>
        <v>21940.9</v>
      </c>
      <c r="I111" s="245"/>
      <c r="J111" s="79"/>
      <c r="K111" s="201"/>
      <c r="L111" s="200"/>
      <c r="M111" s="83"/>
      <c r="N111" s="91"/>
      <c r="O111" s="83">
        <f>H111</f>
        <v>21940.9</v>
      </c>
      <c r="P111" s="31"/>
      <c r="Q111" s="201"/>
      <c r="R111" s="275"/>
    </row>
    <row r="112" spans="1:18" s="89" customFormat="1" x14ac:dyDescent="0.2">
      <c r="A112" s="275"/>
      <c r="B112" s="237"/>
      <c r="C112" s="63"/>
      <c r="D112" s="469" t="s">
        <v>157</v>
      </c>
      <c r="E112" s="494" t="s">
        <v>117</v>
      </c>
      <c r="F112" s="486">
        <f>+G106+G107+G111</f>
        <v>7.5</v>
      </c>
      <c r="G112" s="248" t="s">
        <v>143</v>
      </c>
      <c r="H112" s="249">
        <f>SUM(H106:H111)</f>
        <v>546328.41</v>
      </c>
      <c r="I112" s="245"/>
      <c r="J112" s="79"/>
      <c r="K112" s="238"/>
      <c r="L112" s="237"/>
      <c r="M112" s="239"/>
      <c r="N112" s="240"/>
      <c r="O112" s="91"/>
      <c r="P112" s="31"/>
      <c r="Q112" s="238"/>
      <c r="R112" s="275"/>
    </row>
    <row r="113" spans="1:18" s="89" customFormat="1" x14ac:dyDescent="0.2">
      <c r="A113" s="275"/>
      <c r="B113" s="234"/>
      <c r="C113" s="63"/>
      <c r="D113" s="487" t="s">
        <v>142</v>
      </c>
      <c r="E113" s="494" t="s">
        <v>117</v>
      </c>
      <c r="F113" s="474">
        <f>+E105+F108*E108</f>
        <v>72843.788</v>
      </c>
      <c r="G113" s="478"/>
      <c r="H113" s="249">
        <f>+((F113/2)*F112)/6</f>
        <v>45527.3675</v>
      </c>
      <c r="I113" s="250"/>
      <c r="J113" s="236"/>
      <c r="K113" s="235"/>
      <c r="L113" s="234"/>
      <c r="M113" s="83"/>
      <c r="N113" s="92"/>
      <c r="O113" s="93">
        <f>H113</f>
        <v>45527.3675</v>
      </c>
      <c r="P113" s="88"/>
      <c r="Q113" s="235"/>
      <c r="R113" s="275"/>
    </row>
    <row r="114" spans="1:18" s="89" customFormat="1" x14ac:dyDescent="0.2">
      <c r="A114" s="275"/>
      <c r="B114" s="234"/>
      <c r="C114" s="63"/>
      <c r="D114" s="487" t="s">
        <v>191</v>
      </c>
      <c r="E114" s="474"/>
      <c r="F114" s="474">
        <f>+E105+F108*E108</f>
        <v>72843.788</v>
      </c>
      <c r="G114" s="479"/>
      <c r="H114" s="249">
        <f>+(F114/30)*((F112*30)/20)</f>
        <v>27316.4205</v>
      </c>
      <c r="I114" s="251">
        <v>0</v>
      </c>
      <c r="J114" s="93">
        <f>+(H112+H113+H114)*C105</f>
        <v>619172.19800000009</v>
      </c>
      <c r="K114" s="235"/>
      <c r="L114" s="234"/>
      <c r="M114" s="83"/>
      <c r="N114" s="92"/>
      <c r="O114" s="93">
        <f>H114</f>
        <v>27316.4205</v>
      </c>
      <c r="P114" s="88"/>
      <c r="Q114" s="235"/>
      <c r="R114" s="275"/>
    </row>
    <row r="115" spans="1:18" s="89" customFormat="1" x14ac:dyDescent="0.2">
      <c r="A115" s="275"/>
      <c r="B115" s="200"/>
      <c r="C115" s="63"/>
      <c r="D115" s="488"/>
      <c r="E115" s="492"/>
      <c r="F115" s="486"/>
      <c r="G115" s="483"/>
      <c r="H115" s="453"/>
      <c r="I115" s="253"/>
      <c r="J115" s="79"/>
      <c r="K115" s="201"/>
      <c r="L115" s="200"/>
      <c r="M115" s="87"/>
      <c r="N115" s="79"/>
      <c r="O115" s="79"/>
      <c r="P115" s="88"/>
      <c r="Q115" s="201"/>
      <c r="R115" s="275"/>
    </row>
    <row r="116" spans="1:18" s="89" customFormat="1" ht="15" customHeight="1" x14ac:dyDescent="0.2">
      <c r="A116" s="275"/>
      <c r="B116" s="198"/>
      <c r="C116" s="13">
        <v>2</v>
      </c>
      <c r="D116" s="264" t="s">
        <v>269</v>
      </c>
      <c r="E116" s="489">
        <v>34474.22</v>
      </c>
      <c r="F116" s="486"/>
      <c r="G116" s="480"/>
      <c r="H116" s="481"/>
      <c r="I116" s="254"/>
      <c r="J116" s="146"/>
      <c r="K116" s="199"/>
      <c r="L116" s="198"/>
      <c r="M116" s="87"/>
      <c r="N116" s="79"/>
      <c r="O116" s="79"/>
      <c r="P116" s="88"/>
      <c r="Q116" s="199"/>
      <c r="R116" s="275"/>
    </row>
    <row r="117" spans="1:18" s="89" customFormat="1" x14ac:dyDescent="0.2">
      <c r="A117" s="275"/>
      <c r="B117" s="200"/>
      <c r="C117" s="63"/>
      <c r="D117" s="75" t="s">
        <v>84</v>
      </c>
      <c r="E117" s="77" t="s">
        <v>156</v>
      </c>
      <c r="F117" s="244">
        <f>E116</f>
        <v>34474.22</v>
      </c>
      <c r="G117" s="62">
        <v>2</v>
      </c>
      <c r="H117" s="249">
        <f>+G117*F117</f>
        <v>68948.44</v>
      </c>
      <c r="I117" s="253"/>
      <c r="J117" s="79"/>
      <c r="K117" s="201"/>
      <c r="L117" s="200"/>
      <c r="M117" s="83">
        <f>H117</f>
        <v>68948.44</v>
      </c>
      <c r="N117" s="91"/>
      <c r="O117" s="83"/>
      <c r="P117" s="31"/>
      <c r="Q117" s="201"/>
      <c r="R117" s="275"/>
    </row>
    <row r="118" spans="1:18" s="89" customFormat="1" x14ac:dyDescent="0.2">
      <c r="A118" s="275"/>
      <c r="B118" s="200"/>
      <c r="C118" s="63"/>
      <c r="D118" s="75" t="s">
        <v>77</v>
      </c>
      <c r="E118" s="77" t="s">
        <v>156</v>
      </c>
      <c r="F118" s="244">
        <f>E116</f>
        <v>34474.22</v>
      </c>
      <c r="G118" s="246">
        <v>4</v>
      </c>
      <c r="H118" s="249">
        <f>+G118*F118</f>
        <v>137896.88</v>
      </c>
      <c r="I118" s="253"/>
      <c r="J118" s="79"/>
      <c r="K118" s="201"/>
      <c r="L118" s="200"/>
      <c r="M118" s="83"/>
      <c r="N118" s="91">
        <f>H118</f>
        <v>137896.88</v>
      </c>
      <c r="O118" s="83"/>
      <c r="P118" s="31"/>
      <c r="Q118" s="201"/>
      <c r="R118" s="275"/>
    </row>
    <row r="119" spans="1:18" s="89" customFormat="1" x14ac:dyDescent="0.2">
      <c r="A119" s="275"/>
      <c r="B119" s="200"/>
      <c r="C119" s="63"/>
      <c r="D119" s="75" t="s">
        <v>158</v>
      </c>
      <c r="E119" s="247">
        <v>66</v>
      </c>
      <c r="F119" s="244">
        <f>E116/150*1.5</f>
        <v>344.74220000000003</v>
      </c>
      <c r="G119" s="62">
        <f>+F123</f>
        <v>6</v>
      </c>
      <c r="H119" s="249">
        <f>+G119*F119*E119</f>
        <v>136517.9112</v>
      </c>
      <c r="I119" s="253"/>
      <c r="J119" s="79"/>
      <c r="K119" s="201"/>
      <c r="L119" s="200"/>
      <c r="M119" s="83"/>
      <c r="N119" s="91">
        <f>H119</f>
        <v>136517.9112</v>
      </c>
      <c r="O119" s="83"/>
      <c r="P119" s="31"/>
      <c r="Q119" s="201"/>
      <c r="R119" s="275"/>
    </row>
    <row r="120" spans="1:18" s="89" customFormat="1" x14ac:dyDescent="0.2">
      <c r="A120" s="275"/>
      <c r="B120" s="200"/>
      <c r="C120" s="63"/>
      <c r="D120" s="75" t="s">
        <v>14</v>
      </c>
      <c r="E120" s="10" t="s">
        <v>119</v>
      </c>
      <c r="F120" s="244">
        <v>0</v>
      </c>
      <c r="G120" s="28">
        <f>$H$3</f>
        <v>80</v>
      </c>
      <c r="H120" s="249">
        <f>+G120*F120</f>
        <v>0</v>
      </c>
      <c r="I120" s="253"/>
      <c r="J120" s="79"/>
      <c r="K120" s="201"/>
      <c r="L120" s="200"/>
      <c r="M120" s="83"/>
      <c r="N120" s="91">
        <f>H120</f>
        <v>0</v>
      </c>
      <c r="O120" s="83"/>
      <c r="P120" s="31"/>
      <c r="Q120" s="201"/>
      <c r="R120" s="275"/>
    </row>
    <row r="121" spans="1:18" s="89" customFormat="1" x14ac:dyDescent="0.2">
      <c r="A121" s="275"/>
      <c r="B121" s="200"/>
      <c r="C121" s="63"/>
      <c r="D121" s="75" t="s">
        <v>16</v>
      </c>
      <c r="E121" s="10" t="s">
        <v>119</v>
      </c>
      <c r="F121" s="244">
        <v>0</v>
      </c>
      <c r="G121" s="28">
        <f>$H$4</f>
        <v>40</v>
      </c>
      <c r="H121" s="249">
        <f>+G121*F121</f>
        <v>0</v>
      </c>
      <c r="I121" s="253"/>
      <c r="J121" s="79"/>
      <c r="K121" s="201"/>
      <c r="L121" s="200"/>
      <c r="M121" s="83"/>
      <c r="N121" s="91">
        <f>H121</f>
        <v>0</v>
      </c>
      <c r="O121" s="83"/>
      <c r="P121" s="31"/>
      <c r="Q121" s="201"/>
      <c r="R121" s="275"/>
    </row>
    <row r="122" spans="1:18" s="89" customFormat="1" x14ac:dyDescent="0.2">
      <c r="A122" s="275"/>
      <c r="B122" s="200"/>
      <c r="C122" s="63"/>
      <c r="D122" s="469" t="s">
        <v>13</v>
      </c>
      <c r="E122" s="493" t="s">
        <v>60</v>
      </c>
      <c r="F122" s="474">
        <f>E116</f>
        <v>34474.22</v>
      </c>
      <c r="G122" s="482">
        <v>0</v>
      </c>
      <c r="H122" s="249">
        <f>+G122*F122</f>
        <v>0</v>
      </c>
      <c r="I122" s="253"/>
      <c r="J122" s="79"/>
      <c r="K122" s="201"/>
      <c r="L122" s="200"/>
      <c r="M122" s="83"/>
      <c r="N122" s="91"/>
      <c r="O122" s="83">
        <f>SUM(H122)</f>
        <v>0</v>
      </c>
      <c r="P122" s="31"/>
      <c r="Q122" s="201"/>
      <c r="R122" s="275"/>
    </row>
    <row r="123" spans="1:18" s="89" customFormat="1" x14ac:dyDescent="0.2">
      <c r="A123" s="275"/>
      <c r="B123" s="237"/>
      <c r="C123" s="63"/>
      <c r="D123" s="469" t="s">
        <v>157</v>
      </c>
      <c r="E123" s="494" t="s">
        <v>117</v>
      </c>
      <c r="F123" s="486">
        <f>G117+G118+G122</f>
        <v>6</v>
      </c>
      <c r="G123" s="248" t="s">
        <v>143</v>
      </c>
      <c r="H123" s="249">
        <f>SUM(H117:H122)</f>
        <v>343363.23120000004</v>
      </c>
      <c r="I123" s="245"/>
      <c r="J123" s="79"/>
      <c r="K123" s="238"/>
      <c r="L123" s="237"/>
      <c r="M123" s="239"/>
      <c r="N123" s="240"/>
      <c r="O123" s="91"/>
      <c r="P123" s="31"/>
      <c r="Q123" s="238"/>
      <c r="R123" s="275"/>
    </row>
    <row r="124" spans="1:18" s="89" customFormat="1" x14ac:dyDescent="0.2">
      <c r="A124" s="275"/>
      <c r="B124" s="234"/>
      <c r="C124" s="63"/>
      <c r="D124" s="487" t="s">
        <v>142</v>
      </c>
      <c r="E124" s="494" t="s">
        <v>117</v>
      </c>
      <c r="F124" s="474">
        <f>+E116+F119*E119</f>
        <v>57227.205200000004</v>
      </c>
      <c r="G124" s="478"/>
      <c r="H124" s="249">
        <f>+((F124/2)*F123)/6</f>
        <v>28613.602600000002</v>
      </c>
      <c r="I124" s="250"/>
      <c r="J124" s="236"/>
      <c r="K124" s="235"/>
      <c r="L124" s="234"/>
      <c r="M124" s="83"/>
      <c r="N124" s="92"/>
      <c r="O124" s="93">
        <f>H124</f>
        <v>28613.602600000002</v>
      </c>
      <c r="P124" s="88"/>
      <c r="Q124" s="235"/>
      <c r="R124" s="275"/>
    </row>
    <row r="125" spans="1:18" s="89" customFormat="1" x14ac:dyDescent="0.2">
      <c r="A125" s="275"/>
      <c r="B125" s="234"/>
      <c r="C125" s="63"/>
      <c r="D125" s="487" t="s">
        <v>191</v>
      </c>
      <c r="E125" s="474"/>
      <c r="F125" s="474">
        <f>+E116+F119*E119</f>
        <v>57227.205200000004</v>
      </c>
      <c r="G125" s="479"/>
      <c r="H125" s="249">
        <f>+(F125/30)*((F123*30)/20)</f>
        <v>17168.16156</v>
      </c>
      <c r="I125" s="251">
        <v>0</v>
      </c>
      <c r="J125" s="93">
        <f>+(H123+H124+H125)*C116</f>
        <v>778289.99072</v>
      </c>
      <c r="K125" s="235"/>
      <c r="L125" s="234"/>
      <c r="M125" s="83"/>
      <c r="N125" s="92"/>
      <c r="O125" s="93">
        <f>H125</f>
        <v>17168.16156</v>
      </c>
      <c r="P125" s="88"/>
      <c r="Q125" s="235"/>
      <c r="R125" s="275"/>
    </row>
    <row r="126" spans="1:18" s="89" customFormat="1" x14ac:dyDescent="0.2">
      <c r="A126" s="275"/>
      <c r="B126" s="200"/>
      <c r="C126" s="63"/>
      <c r="D126" s="488"/>
      <c r="E126" s="466"/>
      <c r="F126" s="486"/>
      <c r="G126" s="483"/>
      <c r="H126" s="453"/>
      <c r="I126" s="253"/>
      <c r="J126" s="79"/>
      <c r="K126" s="201"/>
      <c r="L126" s="200"/>
      <c r="M126" s="87"/>
      <c r="N126" s="79"/>
      <c r="O126" s="79"/>
      <c r="P126" s="88"/>
      <c r="Q126" s="201"/>
      <c r="R126" s="275"/>
    </row>
    <row r="127" spans="1:18" s="89" customFormat="1" ht="15" customHeight="1" x14ac:dyDescent="0.2">
      <c r="A127" s="275"/>
      <c r="B127" s="198"/>
      <c r="C127" s="13">
        <v>1</v>
      </c>
      <c r="D127" s="264" t="s">
        <v>166</v>
      </c>
      <c r="E127" s="489">
        <v>43881.8</v>
      </c>
      <c r="F127" s="486"/>
      <c r="G127" s="480"/>
      <c r="H127" s="481"/>
      <c r="I127" s="254"/>
      <c r="J127" s="146"/>
      <c r="K127" s="199"/>
      <c r="L127" s="198"/>
      <c r="M127" s="87"/>
      <c r="N127" s="79"/>
      <c r="O127" s="79"/>
      <c r="P127" s="88"/>
      <c r="Q127" s="199"/>
      <c r="R127" s="275"/>
    </row>
    <row r="128" spans="1:18" s="89" customFormat="1" x14ac:dyDescent="0.2">
      <c r="A128" s="275"/>
      <c r="B128" s="200"/>
      <c r="C128" s="63"/>
      <c r="D128" s="469" t="s">
        <v>84</v>
      </c>
      <c r="E128" s="493" t="s">
        <v>156</v>
      </c>
      <c r="F128" s="474">
        <f>E127</f>
        <v>43881.8</v>
      </c>
      <c r="G128" s="482">
        <v>3</v>
      </c>
      <c r="H128" s="249">
        <f>+G128*F128</f>
        <v>131645.40000000002</v>
      </c>
      <c r="I128" s="253"/>
      <c r="J128" s="79"/>
      <c r="K128" s="201"/>
      <c r="L128" s="200"/>
      <c r="M128" s="83">
        <f>H128</f>
        <v>131645.40000000002</v>
      </c>
      <c r="N128" s="91"/>
      <c r="O128" s="83"/>
      <c r="P128" s="31"/>
      <c r="Q128" s="201"/>
      <c r="R128" s="275"/>
    </row>
    <row r="129" spans="1:18" s="89" customFormat="1" x14ac:dyDescent="0.2">
      <c r="A129" s="275"/>
      <c r="B129" s="200"/>
      <c r="C129" s="63"/>
      <c r="D129" s="469" t="s">
        <v>77</v>
      </c>
      <c r="E129" s="493" t="s">
        <v>156</v>
      </c>
      <c r="F129" s="474">
        <f>E127</f>
        <v>43881.8</v>
      </c>
      <c r="G129" s="482">
        <v>4</v>
      </c>
      <c r="H129" s="249">
        <f>+G129*F129</f>
        <v>175527.2</v>
      </c>
      <c r="I129" s="253"/>
      <c r="J129" s="79"/>
      <c r="K129" s="201"/>
      <c r="L129" s="200"/>
      <c r="M129" s="83"/>
      <c r="N129" s="91">
        <f>H129</f>
        <v>175527.2</v>
      </c>
      <c r="O129" s="83"/>
      <c r="P129" s="31"/>
      <c r="Q129" s="201"/>
      <c r="R129" s="275"/>
    </row>
    <row r="130" spans="1:18" s="89" customFormat="1" x14ac:dyDescent="0.2">
      <c r="A130" s="275"/>
      <c r="B130" s="200"/>
      <c r="C130" s="63"/>
      <c r="D130" s="469" t="s">
        <v>158</v>
      </c>
      <c r="E130" s="247">
        <v>66</v>
      </c>
      <c r="F130" s="474">
        <f>E127/150*1.5</f>
        <v>438.81800000000004</v>
      </c>
      <c r="G130" s="482">
        <f>+F134</f>
        <v>7</v>
      </c>
      <c r="H130" s="249">
        <f>+G130*F130*E130</f>
        <v>202733.916</v>
      </c>
      <c r="I130" s="253"/>
      <c r="J130" s="79"/>
      <c r="K130" s="201"/>
      <c r="L130" s="200"/>
      <c r="M130" s="83"/>
      <c r="N130" s="91">
        <f>H130</f>
        <v>202733.916</v>
      </c>
      <c r="O130" s="83"/>
      <c r="P130" s="31"/>
      <c r="Q130" s="201"/>
      <c r="R130" s="275"/>
    </row>
    <row r="131" spans="1:18" s="89" customFormat="1" x14ac:dyDescent="0.2">
      <c r="A131" s="275"/>
      <c r="B131" s="200"/>
      <c r="C131" s="63"/>
      <c r="D131" s="469" t="s">
        <v>14</v>
      </c>
      <c r="E131" s="494" t="s">
        <v>119</v>
      </c>
      <c r="F131" s="474">
        <v>0</v>
      </c>
      <c r="G131" s="249">
        <f>$H$3</f>
        <v>80</v>
      </c>
      <c r="H131" s="249">
        <f>+G131*F131</f>
        <v>0</v>
      </c>
      <c r="I131" s="253"/>
      <c r="J131" s="79"/>
      <c r="K131" s="201"/>
      <c r="L131" s="200"/>
      <c r="M131" s="83"/>
      <c r="N131" s="91">
        <f>H131</f>
        <v>0</v>
      </c>
      <c r="O131" s="83"/>
      <c r="P131" s="31"/>
      <c r="Q131" s="201"/>
      <c r="R131" s="275"/>
    </row>
    <row r="132" spans="1:18" s="89" customFormat="1" x14ac:dyDescent="0.2">
      <c r="A132" s="275"/>
      <c r="B132" s="200"/>
      <c r="C132" s="63"/>
      <c r="D132" s="469" t="s">
        <v>16</v>
      </c>
      <c r="E132" s="494" t="s">
        <v>119</v>
      </c>
      <c r="F132" s="474">
        <v>0</v>
      </c>
      <c r="G132" s="249">
        <f>$H$4</f>
        <v>40</v>
      </c>
      <c r="H132" s="249">
        <f>+G132*F132</f>
        <v>0</v>
      </c>
      <c r="I132" s="253"/>
      <c r="J132" s="79"/>
      <c r="K132" s="201"/>
      <c r="L132" s="200"/>
      <c r="M132" s="83"/>
      <c r="N132" s="91">
        <f>H132</f>
        <v>0</v>
      </c>
      <c r="O132" s="83"/>
      <c r="P132" s="31"/>
      <c r="Q132" s="201"/>
      <c r="R132" s="275"/>
    </row>
    <row r="133" spans="1:18" s="89" customFormat="1" x14ac:dyDescent="0.2">
      <c r="A133" s="275"/>
      <c r="B133" s="200"/>
      <c r="C133" s="63"/>
      <c r="D133" s="469" t="s">
        <v>13</v>
      </c>
      <c r="E133" s="493" t="s">
        <v>60</v>
      </c>
      <c r="F133" s="474">
        <f>E127</f>
        <v>43881.8</v>
      </c>
      <c r="G133" s="249">
        <v>0</v>
      </c>
      <c r="H133" s="249">
        <f>+G133*F133</f>
        <v>0</v>
      </c>
      <c r="I133" s="253"/>
      <c r="J133" s="79"/>
      <c r="K133" s="201"/>
      <c r="L133" s="200"/>
      <c r="M133" s="83"/>
      <c r="N133" s="91"/>
      <c r="O133" s="83">
        <f>H133</f>
        <v>0</v>
      </c>
      <c r="P133" s="31"/>
      <c r="Q133" s="201"/>
      <c r="R133" s="275"/>
    </row>
    <row r="134" spans="1:18" s="89" customFormat="1" x14ac:dyDescent="0.2">
      <c r="A134" s="275"/>
      <c r="B134" s="237"/>
      <c r="C134" s="63"/>
      <c r="D134" s="469" t="s">
        <v>157</v>
      </c>
      <c r="E134" s="494" t="s">
        <v>117</v>
      </c>
      <c r="F134" s="486">
        <f>+G128+G129+G133</f>
        <v>7</v>
      </c>
      <c r="G134" s="248" t="s">
        <v>143</v>
      </c>
      <c r="H134" s="249">
        <f>SUM(H128:H133)</f>
        <v>509906.51600000006</v>
      </c>
      <c r="I134" s="245"/>
      <c r="J134" s="79"/>
      <c r="K134" s="238"/>
      <c r="L134" s="237"/>
      <c r="M134" s="239"/>
      <c r="N134" s="240"/>
      <c r="O134" s="91"/>
      <c r="P134" s="31"/>
      <c r="Q134" s="238"/>
      <c r="R134" s="275"/>
    </row>
    <row r="135" spans="1:18" s="89" customFormat="1" x14ac:dyDescent="0.2">
      <c r="A135" s="275"/>
      <c r="B135" s="234"/>
      <c r="C135" s="63"/>
      <c r="D135" s="487" t="s">
        <v>142</v>
      </c>
      <c r="E135" s="494" t="s">
        <v>117</v>
      </c>
      <c r="F135" s="474">
        <f>+E127+F130*E130</f>
        <v>72843.788</v>
      </c>
      <c r="G135" s="478"/>
      <c r="H135" s="249">
        <f>+((F135/2)*F134)/6</f>
        <v>42492.209666666669</v>
      </c>
      <c r="I135" s="250"/>
      <c r="J135" s="236"/>
      <c r="K135" s="235"/>
      <c r="L135" s="234"/>
      <c r="M135" s="83"/>
      <c r="N135" s="92"/>
      <c r="O135" s="93">
        <f>H135</f>
        <v>42492.209666666669</v>
      </c>
      <c r="P135" s="88"/>
      <c r="Q135" s="235"/>
      <c r="R135" s="275"/>
    </row>
    <row r="136" spans="1:18" s="89" customFormat="1" x14ac:dyDescent="0.2">
      <c r="A136" s="275"/>
      <c r="B136" s="234"/>
      <c r="C136" s="63"/>
      <c r="D136" s="418" t="s">
        <v>191</v>
      </c>
      <c r="E136" s="474"/>
      <c r="F136" s="474">
        <f>+E127+F130*E130</f>
        <v>72843.788</v>
      </c>
      <c r="G136" s="479"/>
      <c r="H136" s="249">
        <f>+(F136/30)*((F134*30)/20)</f>
        <v>25495.325799999999</v>
      </c>
      <c r="I136" s="251">
        <v>0</v>
      </c>
      <c r="J136" s="93">
        <f>+(H134+H135+H136)*C127</f>
        <v>577894.05146666674</v>
      </c>
      <c r="K136" s="235"/>
      <c r="L136" s="234"/>
      <c r="M136" s="83"/>
      <c r="N136" s="92"/>
      <c r="O136" s="93">
        <f>H136</f>
        <v>25495.325799999999</v>
      </c>
      <c r="P136" s="88"/>
      <c r="Q136" s="235"/>
      <c r="R136" s="275"/>
    </row>
    <row r="137" spans="1:18" s="89" customFormat="1" x14ac:dyDescent="0.2">
      <c r="A137" s="275"/>
      <c r="B137" s="200"/>
      <c r="C137" s="63"/>
      <c r="D137" s="488"/>
      <c r="E137" s="492"/>
      <c r="F137" s="486"/>
      <c r="G137" s="483"/>
      <c r="H137" s="453"/>
      <c r="I137" s="253"/>
      <c r="J137" s="79"/>
      <c r="K137" s="201"/>
      <c r="L137" s="200"/>
      <c r="M137" s="87"/>
      <c r="N137" s="79"/>
      <c r="O137" s="79"/>
      <c r="P137" s="88"/>
      <c r="Q137" s="201"/>
      <c r="R137" s="275"/>
    </row>
    <row r="138" spans="1:18" s="89" customFormat="1" x14ac:dyDescent="0.2">
      <c r="A138" s="275"/>
      <c r="B138" s="409"/>
      <c r="C138" s="63"/>
      <c r="D138" s="94"/>
      <c r="E138" s="255"/>
      <c r="F138" s="241"/>
      <c r="G138" s="252"/>
      <c r="H138" s="32"/>
      <c r="I138" s="253"/>
      <c r="J138" s="79"/>
      <c r="K138" s="410"/>
      <c r="L138" s="409"/>
      <c r="M138" s="87"/>
      <c r="N138" s="79"/>
      <c r="O138" s="79"/>
      <c r="P138" s="88"/>
      <c r="Q138" s="410"/>
      <c r="R138" s="275"/>
    </row>
    <row r="139" spans="1:18" s="89" customFormat="1" ht="24" customHeight="1" x14ac:dyDescent="0.2">
      <c r="A139" s="275"/>
      <c r="B139" s="409"/>
      <c r="C139" s="176">
        <f>SUM(C94:C130)</f>
        <v>5</v>
      </c>
      <c r="D139" s="94"/>
      <c r="E139" s="255"/>
      <c r="F139" s="241"/>
      <c r="G139" s="252"/>
      <c r="H139" s="32"/>
      <c r="I139" s="253"/>
      <c r="J139" s="79"/>
      <c r="K139" s="410"/>
      <c r="L139" s="409"/>
      <c r="M139" s="87"/>
      <c r="N139" s="79"/>
      <c r="O139" s="79"/>
      <c r="P139" s="88"/>
      <c r="Q139" s="410"/>
      <c r="R139" s="275"/>
    </row>
    <row r="140" spans="1:18" s="89" customFormat="1" x14ac:dyDescent="0.2">
      <c r="A140" s="275"/>
      <c r="B140" s="409"/>
      <c r="C140" s="63"/>
      <c r="D140" s="94"/>
      <c r="E140" s="255"/>
      <c r="F140" s="241"/>
      <c r="G140" s="252"/>
      <c r="H140" s="32"/>
      <c r="I140" s="253"/>
      <c r="J140" s="79"/>
      <c r="K140" s="410"/>
      <c r="L140" s="409"/>
      <c r="M140" s="87"/>
      <c r="N140" s="79"/>
      <c r="O140" s="79"/>
      <c r="P140" s="88"/>
      <c r="Q140" s="410"/>
      <c r="R140" s="275"/>
    </row>
    <row r="141" spans="1:18" s="89" customFormat="1" ht="15" customHeight="1" x14ac:dyDescent="0.2">
      <c r="A141" s="275"/>
      <c r="B141" s="405"/>
      <c r="C141" s="13"/>
      <c r="D141" s="408" t="s">
        <v>264</v>
      </c>
      <c r="E141" s="95"/>
      <c r="F141" s="84"/>
      <c r="G141" s="85"/>
      <c r="H141" s="406"/>
      <c r="I141" s="53"/>
      <c r="J141" s="53"/>
      <c r="K141" s="407"/>
      <c r="L141" s="405"/>
      <c r="M141" s="87"/>
      <c r="N141" s="79"/>
      <c r="O141" s="79"/>
      <c r="P141" s="88"/>
      <c r="Q141" s="407"/>
      <c r="R141" s="275"/>
    </row>
    <row r="142" spans="1:18" s="89" customFormat="1" ht="15" customHeight="1" x14ac:dyDescent="0.2">
      <c r="A142" s="275"/>
      <c r="B142" s="198"/>
      <c r="C142" s="13">
        <v>1</v>
      </c>
      <c r="D142" s="260" t="s">
        <v>333</v>
      </c>
      <c r="E142" s="18">
        <v>50376.94</v>
      </c>
      <c r="F142" s="241"/>
      <c r="G142" s="52"/>
      <c r="H142" s="242"/>
      <c r="I142" s="243"/>
      <c r="J142" s="146"/>
      <c r="K142" s="199"/>
      <c r="L142" s="198"/>
      <c r="M142" s="87"/>
      <c r="N142" s="79"/>
      <c r="O142" s="79"/>
      <c r="P142" s="88"/>
      <c r="Q142" s="199"/>
      <c r="R142" s="275"/>
    </row>
    <row r="143" spans="1:18" s="89" customFormat="1" x14ac:dyDescent="0.2">
      <c r="A143" s="275"/>
      <c r="B143" s="200"/>
      <c r="C143" s="63"/>
      <c r="D143" s="75" t="s">
        <v>84</v>
      </c>
      <c r="E143" s="77" t="s">
        <v>156</v>
      </c>
      <c r="F143" s="244">
        <f>E142</f>
        <v>50376.94</v>
      </c>
      <c r="G143" s="62">
        <v>1</v>
      </c>
      <c r="H143" s="249">
        <f>+G143*F143</f>
        <v>50376.94</v>
      </c>
      <c r="I143" s="245"/>
      <c r="J143" s="79"/>
      <c r="K143" s="201"/>
      <c r="L143" s="200"/>
      <c r="M143" s="83">
        <f>H143</f>
        <v>50376.94</v>
      </c>
      <c r="N143" s="91"/>
      <c r="O143" s="83"/>
      <c r="P143" s="31"/>
      <c r="Q143" s="201"/>
      <c r="R143" s="275"/>
    </row>
    <row r="144" spans="1:18" s="89" customFormat="1" x14ac:dyDescent="0.2">
      <c r="A144" s="275"/>
      <c r="B144" s="200"/>
      <c r="C144" s="63"/>
      <c r="D144" s="75" t="s">
        <v>77</v>
      </c>
      <c r="E144" s="77" t="s">
        <v>156</v>
      </c>
      <c r="F144" s="244">
        <f>E142</f>
        <v>50376.94</v>
      </c>
      <c r="G144" s="246">
        <v>4</v>
      </c>
      <c r="H144" s="249">
        <f>+G144*F144</f>
        <v>201507.76</v>
      </c>
      <c r="I144" s="245"/>
      <c r="J144" s="79"/>
      <c r="K144" s="201"/>
      <c r="L144" s="200"/>
      <c r="M144" s="83"/>
      <c r="N144" s="91">
        <f>H144</f>
        <v>201507.76</v>
      </c>
      <c r="O144" s="83"/>
      <c r="P144" s="31"/>
      <c r="Q144" s="201"/>
      <c r="R144" s="275"/>
    </row>
    <row r="145" spans="1:18" s="89" customFormat="1" x14ac:dyDescent="0.2">
      <c r="A145" s="275"/>
      <c r="B145" s="200"/>
      <c r="C145" s="63"/>
      <c r="D145" s="469" t="s">
        <v>158</v>
      </c>
      <c r="E145" s="247">
        <v>66</v>
      </c>
      <c r="F145" s="474">
        <f>E142/150*1.5</f>
        <v>503.76940000000002</v>
      </c>
      <c r="G145" s="482">
        <f>+F149</f>
        <v>5</v>
      </c>
      <c r="H145" s="249">
        <f>+G145*F145*E145</f>
        <v>166243.902</v>
      </c>
      <c r="I145" s="245"/>
      <c r="J145" s="79"/>
      <c r="K145" s="201"/>
      <c r="L145" s="200"/>
      <c r="M145" s="83"/>
      <c r="N145" s="91">
        <f>H145</f>
        <v>166243.902</v>
      </c>
      <c r="O145" s="83"/>
      <c r="P145" s="31"/>
      <c r="Q145" s="201"/>
      <c r="R145" s="275"/>
    </row>
    <row r="146" spans="1:18" s="89" customFormat="1" x14ac:dyDescent="0.2">
      <c r="A146" s="275"/>
      <c r="B146" s="200"/>
      <c r="C146" s="63"/>
      <c r="D146" s="469" t="s">
        <v>14</v>
      </c>
      <c r="E146" s="494" t="s">
        <v>119</v>
      </c>
      <c r="F146" s="474">
        <v>0</v>
      </c>
      <c r="G146" s="249">
        <f>$H$3</f>
        <v>80</v>
      </c>
      <c r="H146" s="249">
        <f>+G146*F146</f>
        <v>0</v>
      </c>
      <c r="I146" s="245"/>
      <c r="J146" s="79"/>
      <c r="K146" s="201"/>
      <c r="L146" s="200"/>
      <c r="M146" s="83"/>
      <c r="N146" s="91">
        <f>H146</f>
        <v>0</v>
      </c>
      <c r="O146" s="83"/>
      <c r="P146" s="31"/>
      <c r="Q146" s="201"/>
      <c r="R146" s="275"/>
    </row>
    <row r="147" spans="1:18" s="89" customFormat="1" x14ac:dyDescent="0.2">
      <c r="A147" s="275"/>
      <c r="B147" s="200"/>
      <c r="C147" s="63"/>
      <c r="D147" s="469" t="s">
        <v>16</v>
      </c>
      <c r="E147" s="494" t="s">
        <v>119</v>
      </c>
      <c r="F147" s="474">
        <v>0</v>
      </c>
      <c r="G147" s="249">
        <f>$H$4</f>
        <v>40</v>
      </c>
      <c r="H147" s="249">
        <f>+G147*F147</f>
        <v>0</v>
      </c>
      <c r="I147" s="245"/>
      <c r="J147" s="79"/>
      <c r="K147" s="201"/>
      <c r="L147" s="200"/>
      <c r="M147" s="83"/>
      <c r="N147" s="91">
        <f>H147</f>
        <v>0</v>
      </c>
      <c r="O147" s="83"/>
      <c r="P147" s="31"/>
      <c r="Q147" s="201"/>
      <c r="R147" s="275"/>
    </row>
    <row r="148" spans="1:18" s="89" customFormat="1" x14ac:dyDescent="0.2">
      <c r="A148" s="275"/>
      <c r="B148" s="200"/>
      <c r="C148" s="63"/>
      <c r="D148" s="469" t="s">
        <v>13</v>
      </c>
      <c r="E148" s="493" t="s">
        <v>60</v>
      </c>
      <c r="F148" s="474">
        <f>E142</f>
        <v>50376.94</v>
      </c>
      <c r="G148" s="249">
        <v>0</v>
      </c>
      <c r="H148" s="249">
        <f>+G148*F148</f>
        <v>0</v>
      </c>
      <c r="I148" s="245"/>
      <c r="J148" s="79"/>
      <c r="K148" s="201"/>
      <c r="L148" s="200"/>
      <c r="M148" s="83"/>
      <c r="N148" s="91"/>
      <c r="O148" s="83">
        <f>SUM(H148)</f>
        <v>0</v>
      </c>
      <c r="P148" s="31"/>
      <c r="Q148" s="201"/>
      <c r="R148" s="275"/>
    </row>
    <row r="149" spans="1:18" s="89" customFormat="1" x14ac:dyDescent="0.2">
      <c r="A149" s="275"/>
      <c r="B149" s="237"/>
      <c r="C149" s="63"/>
      <c r="D149" s="469" t="s">
        <v>157</v>
      </c>
      <c r="E149" s="494" t="s">
        <v>117</v>
      </c>
      <c r="F149" s="486">
        <f>+G143+G144+G148</f>
        <v>5</v>
      </c>
      <c r="G149" s="248" t="s">
        <v>143</v>
      </c>
      <c r="H149" s="249">
        <f>SUM(H143:H148)</f>
        <v>418128.60200000001</v>
      </c>
      <c r="I149" s="245"/>
      <c r="J149" s="79"/>
      <c r="K149" s="238"/>
      <c r="L149" s="237"/>
      <c r="M149" s="239"/>
      <c r="N149" s="240"/>
      <c r="O149" s="91"/>
      <c r="P149" s="31"/>
      <c r="Q149" s="238"/>
      <c r="R149" s="275"/>
    </row>
    <row r="150" spans="1:18" s="89" customFormat="1" x14ac:dyDescent="0.2">
      <c r="A150" s="275"/>
      <c r="B150" s="234"/>
      <c r="C150" s="63"/>
      <c r="D150" s="487" t="s">
        <v>142</v>
      </c>
      <c r="E150" s="494" t="s">
        <v>117</v>
      </c>
      <c r="F150" s="474">
        <f>+E142+F145*E145</f>
        <v>83625.720400000006</v>
      </c>
      <c r="G150" s="478"/>
      <c r="H150" s="249">
        <f>+((F150/2)*F149)/6</f>
        <v>34844.050166666668</v>
      </c>
      <c r="I150" s="250"/>
      <c r="J150" s="236"/>
      <c r="K150" s="235"/>
      <c r="L150" s="234"/>
      <c r="M150" s="83"/>
      <c r="N150" s="92"/>
      <c r="O150" s="93">
        <f>H150</f>
        <v>34844.050166666668</v>
      </c>
      <c r="P150" s="88"/>
      <c r="Q150" s="235"/>
      <c r="R150" s="275"/>
    </row>
    <row r="151" spans="1:18" s="89" customFormat="1" x14ac:dyDescent="0.2">
      <c r="A151" s="275"/>
      <c r="B151" s="200"/>
      <c r="C151" s="63"/>
      <c r="D151" s="487" t="s">
        <v>191</v>
      </c>
      <c r="E151" s="474"/>
      <c r="F151" s="474">
        <f>+E142+F145*E145</f>
        <v>83625.720400000006</v>
      </c>
      <c r="G151" s="479"/>
      <c r="H151" s="249">
        <f>+(F151/30)*((F149*30)/20)</f>
        <v>20906.430100000001</v>
      </c>
      <c r="I151" s="251">
        <v>0</v>
      </c>
      <c r="J151" s="93">
        <f>+(H149+H150+H151)*C142</f>
        <v>473879.08226666669</v>
      </c>
      <c r="K151" s="201"/>
      <c r="L151" s="200"/>
      <c r="M151" s="83"/>
      <c r="N151" s="92"/>
      <c r="O151" s="93">
        <f>H151</f>
        <v>20906.430100000001</v>
      </c>
      <c r="P151" s="88"/>
      <c r="Q151" s="201"/>
      <c r="R151" s="275"/>
    </row>
    <row r="152" spans="1:18" s="89" customFormat="1" x14ac:dyDescent="0.2">
      <c r="A152" s="275"/>
      <c r="B152" s="200"/>
      <c r="C152" s="63"/>
      <c r="D152" s="488"/>
      <c r="E152" s="466"/>
      <c r="F152" s="486"/>
      <c r="G152" s="483"/>
      <c r="H152" s="453"/>
      <c r="I152" s="253"/>
      <c r="J152" s="79"/>
      <c r="K152" s="201"/>
      <c r="L152" s="200"/>
      <c r="M152" s="87"/>
      <c r="N152" s="79"/>
      <c r="O152" s="79"/>
      <c r="P152" s="88"/>
      <c r="Q152" s="201"/>
      <c r="R152" s="275"/>
    </row>
    <row r="153" spans="1:18" s="89" customFormat="1" ht="15" customHeight="1" x14ac:dyDescent="0.2">
      <c r="A153" s="275"/>
      <c r="B153" s="198"/>
      <c r="C153" s="13">
        <v>1</v>
      </c>
      <c r="D153" s="264" t="s">
        <v>268</v>
      </c>
      <c r="E153" s="489">
        <v>34474.22</v>
      </c>
      <c r="F153" s="486"/>
      <c r="G153" s="480"/>
      <c r="H153" s="481"/>
      <c r="I153" s="254"/>
      <c r="J153" s="146"/>
      <c r="K153" s="199"/>
      <c r="L153" s="198"/>
      <c r="M153" s="87"/>
      <c r="N153" s="79"/>
      <c r="O153" s="79"/>
      <c r="P153" s="88"/>
      <c r="Q153" s="199"/>
      <c r="R153" s="275"/>
    </row>
    <row r="154" spans="1:18" s="89" customFormat="1" x14ac:dyDescent="0.2">
      <c r="A154" s="275"/>
      <c r="B154" s="237"/>
      <c r="C154" s="63"/>
      <c r="D154" s="469" t="s">
        <v>84</v>
      </c>
      <c r="E154" s="493" t="s">
        <v>156</v>
      </c>
      <c r="F154" s="474">
        <f>E153</f>
        <v>34474.22</v>
      </c>
      <c r="G154" s="482">
        <v>1</v>
      </c>
      <c r="H154" s="249">
        <f>+G154*F154</f>
        <v>34474.22</v>
      </c>
      <c r="I154" s="253"/>
      <c r="J154" s="79"/>
      <c r="K154" s="238"/>
      <c r="L154" s="237"/>
      <c r="M154" s="83">
        <f>H154</f>
        <v>34474.22</v>
      </c>
      <c r="N154" s="91"/>
      <c r="O154" s="83"/>
      <c r="P154" s="31"/>
      <c r="Q154" s="238"/>
      <c r="R154" s="275"/>
    </row>
    <row r="155" spans="1:18" s="89" customFormat="1" x14ac:dyDescent="0.2">
      <c r="A155" s="275"/>
      <c r="B155" s="237"/>
      <c r="C155" s="63"/>
      <c r="D155" s="469" t="s">
        <v>77</v>
      </c>
      <c r="E155" s="493" t="s">
        <v>156</v>
      </c>
      <c r="F155" s="474">
        <f>E153</f>
        <v>34474.22</v>
      </c>
      <c r="G155" s="496">
        <v>4</v>
      </c>
      <c r="H155" s="249">
        <f>+G155*F155</f>
        <v>137896.88</v>
      </c>
      <c r="I155" s="253"/>
      <c r="J155" s="79"/>
      <c r="K155" s="238"/>
      <c r="L155" s="237"/>
      <c r="M155" s="83"/>
      <c r="N155" s="91">
        <f>H155</f>
        <v>137896.88</v>
      </c>
      <c r="O155" s="83"/>
      <c r="P155" s="31"/>
      <c r="Q155" s="238"/>
      <c r="R155" s="275"/>
    </row>
    <row r="156" spans="1:18" s="89" customFormat="1" x14ac:dyDescent="0.2">
      <c r="A156" s="275"/>
      <c r="B156" s="237"/>
      <c r="C156" s="63"/>
      <c r="D156" s="469" t="s">
        <v>158</v>
      </c>
      <c r="E156" s="247">
        <v>66</v>
      </c>
      <c r="F156" s="474">
        <f>E153/150*1.5</f>
        <v>344.74220000000003</v>
      </c>
      <c r="G156" s="482">
        <f>+F160</f>
        <v>5</v>
      </c>
      <c r="H156" s="249">
        <f>+G156*F156*E156</f>
        <v>113764.92600000002</v>
      </c>
      <c r="I156" s="253"/>
      <c r="J156" s="79"/>
      <c r="K156" s="238"/>
      <c r="L156" s="237"/>
      <c r="M156" s="83"/>
      <c r="N156" s="91">
        <f>H156</f>
        <v>113764.92600000002</v>
      </c>
      <c r="O156" s="83"/>
      <c r="P156" s="31"/>
      <c r="Q156" s="238"/>
      <c r="R156" s="275"/>
    </row>
    <row r="157" spans="1:18" s="89" customFormat="1" x14ac:dyDescent="0.2">
      <c r="A157" s="275"/>
      <c r="B157" s="237"/>
      <c r="C157" s="63"/>
      <c r="D157" s="469" t="s">
        <v>14</v>
      </c>
      <c r="E157" s="494" t="s">
        <v>119</v>
      </c>
      <c r="F157" s="474">
        <v>0</v>
      </c>
      <c r="G157" s="249">
        <f>$H$3</f>
        <v>80</v>
      </c>
      <c r="H157" s="249">
        <f>+G157*F157</f>
        <v>0</v>
      </c>
      <c r="I157" s="253"/>
      <c r="J157" s="79"/>
      <c r="K157" s="238"/>
      <c r="L157" s="237"/>
      <c r="M157" s="83"/>
      <c r="N157" s="91">
        <f>H157</f>
        <v>0</v>
      </c>
      <c r="O157" s="83"/>
      <c r="P157" s="31"/>
      <c r="Q157" s="238"/>
      <c r="R157" s="275"/>
    </row>
    <row r="158" spans="1:18" s="89" customFormat="1" x14ac:dyDescent="0.2">
      <c r="A158" s="275"/>
      <c r="B158" s="237"/>
      <c r="C158" s="63"/>
      <c r="D158" s="469" t="s">
        <v>16</v>
      </c>
      <c r="E158" s="494" t="s">
        <v>119</v>
      </c>
      <c r="F158" s="474">
        <v>0</v>
      </c>
      <c r="G158" s="249">
        <f>$H$4</f>
        <v>40</v>
      </c>
      <c r="H158" s="249">
        <f>+G158*F158</f>
        <v>0</v>
      </c>
      <c r="I158" s="253"/>
      <c r="J158" s="79"/>
      <c r="K158" s="238"/>
      <c r="L158" s="237"/>
      <c r="M158" s="83"/>
      <c r="N158" s="91">
        <f>H158</f>
        <v>0</v>
      </c>
      <c r="O158" s="83"/>
      <c r="P158" s="31"/>
      <c r="Q158" s="238"/>
      <c r="R158" s="275"/>
    </row>
    <row r="159" spans="1:18" s="89" customFormat="1" x14ac:dyDescent="0.2">
      <c r="A159" s="275"/>
      <c r="B159" s="237"/>
      <c r="C159" s="63"/>
      <c r="D159" s="469" t="s">
        <v>13</v>
      </c>
      <c r="E159" s="493" t="s">
        <v>60</v>
      </c>
      <c r="F159" s="474">
        <f>E153</f>
        <v>34474.22</v>
      </c>
      <c r="G159" s="249">
        <v>0</v>
      </c>
      <c r="H159" s="249">
        <f>+G159*F159</f>
        <v>0</v>
      </c>
      <c r="I159" s="253"/>
      <c r="J159" s="79"/>
      <c r="K159" s="238"/>
      <c r="L159" s="237"/>
      <c r="M159" s="83"/>
      <c r="N159" s="91"/>
      <c r="O159" s="83">
        <f>SUM(H159)</f>
        <v>0</v>
      </c>
      <c r="P159" s="31"/>
      <c r="Q159" s="238"/>
      <c r="R159" s="275"/>
    </row>
    <row r="160" spans="1:18" s="89" customFormat="1" x14ac:dyDescent="0.2">
      <c r="A160" s="275"/>
      <c r="B160" s="237"/>
      <c r="C160" s="63"/>
      <c r="D160" s="469" t="s">
        <v>157</v>
      </c>
      <c r="E160" s="494" t="s">
        <v>117</v>
      </c>
      <c r="F160" s="486">
        <f>+G154+G155+G159</f>
        <v>5</v>
      </c>
      <c r="G160" s="248" t="s">
        <v>143</v>
      </c>
      <c r="H160" s="249">
        <f>SUM(H154:H159)</f>
        <v>286136.02600000001</v>
      </c>
      <c r="I160" s="245"/>
      <c r="J160" s="79"/>
      <c r="K160" s="238"/>
      <c r="L160" s="237"/>
      <c r="M160" s="239"/>
      <c r="N160" s="240"/>
      <c r="O160" s="91"/>
      <c r="P160" s="31"/>
      <c r="Q160" s="238"/>
      <c r="R160" s="275"/>
    </row>
    <row r="161" spans="1:18" s="89" customFormat="1" x14ac:dyDescent="0.2">
      <c r="A161" s="275"/>
      <c r="B161" s="237"/>
      <c r="C161" s="63"/>
      <c r="D161" s="487" t="s">
        <v>142</v>
      </c>
      <c r="E161" s="494" t="s">
        <v>117</v>
      </c>
      <c r="F161" s="474">
        <f>+E153+F156*E156</f>
        <v>57227.205200000004</v>
      </c>
      <c r="G161" s="478"/>
      <c r="H161" s="249">
        <f>+((F161/2)*F160)/6</f>
        <v>23844.668833333333</v>
      </c>
      <c r="I161" s="250"/>
      <c r="J161" s="236"/>
      <c r="K161" s="238"/>
      <c r="L161" s="237"/>
      <c r="M161" s="83"/>
      <c r="N161" s="92"/>
      <c r="O161" s="93">
        <f>H161</f>
        <v>23844.668833333333</v>
      </c>
      <c r="P161" s="88"/>
      <c r="Q161" s="238"/>
      <c r="R161" s="275"/>
    </row>
    <row r="162" spans="1:18" s="89" customFormat="1" x14ac:dyDescent="0.2">
      <c r="A162" s="275"/>
      <c r="B162" s="237"/>
      <c r="C162" s="63"/>
      <c r="D162" s="487" t="s">
        <v>191</v>
      </c>
      <c r="E162" s="474"/>
      <c r="F162" s="474">
        <f>+E153+F156*E156</f>
        <v>57227.205200000004</v>
      </c>
      <c r="G162" s="479"/>
      <c r="H162" s="249">
        <f>+(F162/30)*((F160*30)/20)</f>
        <v>14306.801300000001</v>
      </c>
      <c r="I162" s="251">
        <v>0</v>
      </c>
      <c r="J162" s="93">
        <f>+(H160+H161+H162)*C153</f>
        <v>324287.49613333336</v>
      </c>
      <c r="K162" s="238"/>
      <c r="L162" s="237"/>
      <c r="M162" s="83"/>
      <c r="N162" s="92"/>
      <c r="O162" s="93">
        <f>H162</f>
        <v>14306.801300000001</v>
      </c>
      <c r="P162" s="88"/>
      <c r="Q162" s="238"/>
      <c r="R162" s="275"/>
    </row>
    <row r="163" spans="1:18" s="89" customFormat="1" x14ac:dyDescent="0.2">
      <c r="A163" s="275"/>
      <c r="B163" s="237"/>
      <c r="C163" s="63"/>
      <c r="D163" s="488"/>
      <c r="E163" s="466"/>
      <c r="F163" s="486"/>
      <c r="G163" s="483"/>
      <c r="H163" s="453"/>
      <c r="I163" s="253"/>
      <c r="J163" s="79"/>
      <c r="K163" s="238"/>
      <c r="L163" s="237"/>
      <c r="M163" s="87"/>
      <c r="N163" s="79"/>
      <c r="O163" s="79"/>
      <c r="P163" s="88"/>
      <c r="Q163" s="238"/>
      <c r="R163" s="275"/>
    </row>
    <row r="164" spans="1:18" s="89" customFormat="1" ht="15" customHeight="1" x14ac:dyDescent="0.2">
      <c r="A164" s="275"/>
      <c r="B164" s="198"/>
      <c r="C164" s="13">
        <v>1</v>
      </c>
      <c r="D164" s="260" t="s">
        <v>162</v>
      </c>
      <c r="E164" s="18">
        <v>50376.94</v>
      </c>
      <c r="F164" s="241"/>
      <c r="G164" s="52"/>
      <c r="H164" s="242"/>
      <c r="I164" s="243"/>
      <c r="J164" s="146"/>
      <c r="K164" s="199"/>
      <c r="L164" s="198"/>
      <c r="M164" s="87"/>
      <c r="N164" s="79"/>
      <c r="O164" s="79"/>
      <c r="P164" s="88"/>
      <c r="Q164" s="199"/>
      <c r="R164" s="275"/>
    </row>
    <row r="165" spans="1:18" s="89" customFormat="1" x14ac:dyDescent="0.2">
      <c r="A165" s="275"/>
      <c r="B165" s="200"/>
      <c r="C165" s="63"/>
      <c r="D165" s="75" t="s">
        <v>84</v>
      </c>
      <c r="E165" s="77" t="s">
        <v>156</v>
      </c>
      <c r="F165" s="244">
        <f>E164</f>
        <v>50376.94</v>
      </c>
      <c r="G165" s="62">
        <v>3</v>
      </c>
      <c r="H165" s="249">
        <f>+G165*F165</f>
        <v>151130.82</v>
      </c>
      <c r="I165" s="245"/>
      <c r="J165" s="79"/>
      <c r="K165" s="201"/>
      <c r="L165" s="200"/>
      <c r="M165" s="83">
        <f>H165</f>
        <v>151130.82</v>
      </c>
      <c r="N165" s="91"/>
      <c r="O165" s="83"/>
      <c r="P165" s="31"/>
      <c r="Q165" s="201"/>
      <c r="R165" s="275"/>
    </row>
    <row r="166" spans="1:18" s="89" customFormat="1" x14ac:dyDescent="0.2">
      <c r="A166" s="275"/>
      <c r="B166" s="200"/>
      <c r="C166" s="63"/>
      <c r="D166" s="75" t="s">
        <v>77</v>
      </c>
      <c r="E166" s="77" t="s">
        <v>156</v>
      </c>
      <c r="F166" s="244">
        <f>E164</f>
        <v>50376.94</v>
      </c>
      <c r="G166" s="246">
        <v>4</v>
      </c>
      <c r="H166" s="249">
        <f>+G166*F166</f>
        <v>201507.76</v>
      </c>
      <c r="I166" s="245"/>
      <c r="J166" s="79"/>
      <c r="K166" s="201"/>
      <c r="L166" s="200"/>
      <c r="M166" s="83"/>
      <c r="N166" s="91">
        <f>H166</f>
        <v>201507.76</v>
      </c>
      <c r="O166" s="83"/>
      <c r="P166" s="31"/>
      <c r="Q166" s="201"/>
      <c r="R166" s="275"/>
    </row>
    <row r="167" spans="1:18" s="89" customFormat="1" x14ac:dyDescent="0.2">
      <c r="A167" s="275"/>
      <c r="B167" s="200"/>
      <c r="C167" s="63"/>
      <c r="D167" s="75" t="s">
        <v>158</v>
      </c>
      <c r="E167" s="247">
        <v>66</v>
      </c>
      <c r="F167" s="244">
        <f>E164/150*1.5</f>
        <v>503.76940000000002</v>
      </c>
      <c r="G167" s="62">
        <f>+F171</f>
        <v>7</v>
      </c>
      <c r="H167" s="249">
        <f>+G167*F167*E167</f>
        <v>232741.46280000001</v>
      </c>
      <c r="I167" s="245"/>
      <c r="J167" s="79"/>
      <c r="K167" s="201"/>
      <c r="L167" s="200"/>
      <c r="M167" s="83"/>
      <c r="N167" s="91">
        <f>H167</f>
        <v>232741.46280000001</v>
      </c>
      <c r="O167" s="83"/>
      <c r="P167" s="31"/>
      <c r="Q167" s="201"/>
      <c r="R167" s="275"/>
    </row>
    <row r="168" spans="1:18" s="89" customFormat="1" x14ac:dyDescent="0.2">
      <c r="A168" s="275"/>
      <c r="B168" s="200"/>
      <c r="C168" s="63"/>
      <c r="D168" s="75" t="s">
        <v>14</v>
      </c>
      <c r="E168" s="10" t="s">
        <v>119</v>
      </c>
      <c r="F168" s="244">
        <v>0</v>
      </c>
      <c r="G168" s="28">
        <f>$H$3</f>
        <v>80</v>
      </c>
      <c r="H168" s="249">
        <f>+G168*F168</f>
        <v>0</v>
      </c>
      <c r="I168" s="245"/>
      <c r="J168" s="79"/>
      <c r="K168" s="201"/>
      <c r="L168" s="200"/>
      <c r="M168" s="83"/>
      <c r="N168" s="91">
        <f>H168</f>
        <v>0</v>
      </c>
      <c r="O168" s="83"/>
      <c r="P168" s="31"/>
      <c r="Q168" s="201"/>
      <c r="R168" s="275"/>
    </row>
    <row r="169" spans="1:18" s="89" customFormat="1" x14ac:dyDescent="0.2">
      <c r="A169" s="275"/>
      <c r="B169" s="200"/>
      <c r="C169" s="63"/>
      <c r="D169" s="75" t="s">
        <v>16</v>
      </c>
      <c r="E169" s="10" t="s">
        <v>119</v>
      </c>
      <c r="F169" s="244">
        <v>0</v>
      </c>
      <c r="G169" s="28">
        <f>$H$4</f>
        <v>40</v>
      </c>
      <c r="H169" s="249">
        <f>+G169*F169</f>
        <v>0</v>
      </c>
      <c r="I169" s="245"/>
      <c r="J169" s="79"/>
      <c r="K169" s="201"/>
      <c r="L169" s="200"/>
      <c r="M169" s="83"/>
      <c r="N169" s="91">
        <f>H169</f>
        <v>0</v>
      </c>
      <c r="O169" s="83"/>
      <c r="P169" s="31"/>
      <c r="Q169" s="201"/>
      <c r="R169" s="275"/>
    </row>
    <row r="170" spans="1:18" s="89" customFormat="1" x14ac:dyDescent="0.2">
      <c r="A170" s="275"/>
      <c r="B170" s="200"/>
      <c r="C170" s="63"/>
      <c r="D170" s="75" t="s">
        <v>13</v>
      </c>
      <c r="E170" s="77" t="s">
        <v>60</v>
      </c>
      <c r="F170" s="244">
        <f>E164</f>
        <v>50376.94</v>
      </c>
      <c r="G170" s="28">
        <v>0</v>
      </c>
      <c r="H170" s="249">
        <f>+G170*F170</f>
        <v>0</v>
      </c>
      <c r="I170" s="245"/>
      <c r="J170" s="79"/>
      <c r="K170" s="201"/>
      <c r="L170" s="200"/>
      <c r="M170" s="83"/>
      <c r="N170" s="91"/>
      <c r="O170" s="83">
        <f>SUM(H170)</f>
        <v>0</v>
      </c>
      <c r="P170" s="31"/>
      <c r="Q170" s="201"/>
      <c r="R170" s="275"/>
    </row>
    <row r="171" spans="1:18" s="89" customFormat="1" x14ac:dyDescent="0.2">
      <c r="A171" s="275"/>
      <c r="B171" s="237"/>
      <c r="C171" s="63"/>
      <c r="D171" s="75" t="s">
        <v>157</v>
      </c>
      <c r="E171" s="10" t="s">
        <v>117</v>
      </c>
      <c r="F171" s="241">
        <f>+G165+G166+G170</f>
        <v>7</v>
      </c>
      <c r="G171" s="248" t="s">
        <v>143</v>
      </c>
      <c r="H171" s="249">
        <f>SUM(H165:H170)</f>
        <v>585380.04280000005</v>
      </c>
      <c r="I171" s="245"/>
      <c r="J171" s="79"/>
      <c r="K171" s="238"/>
      <c r="L171" s="237"/>
      <c r="M171" s="239"/>
      <c r="N171" s="240"/>
      <c r="O171" s="91"/>
      <c r="P171" s="31"/>
      <c r="Q171" s="238"/>
      <c r="R171" s="275"/>
    </row>
    <row r="172" spans="1:18" s="89" customFormat="1" x14ac:dyDescent="0.2">
      <c r="A172" s="275"/>
      <c r="B172" s="234"/>
      <c r="C172" s="63"/>
      <c r="D172" s="487" t="s">
        <v>142</v>
      </c>
      <c r="E172" s="494" t="s">
        <v>117</v>
      </c>
      <c r="F172" s="474">
        <f>+E164+(F167*69)</f>
        <v>85137.028600000005</v>
      </c>
      <c r="G172" s="478"/>
      <c r="H172" s="249">
        <f>+((F172/2)*F171)/6</f>
        <v>49663.266683333342</v>
      </c>
      <c r="I172" s="250"/>
      <c r="J172" s="236"/>
      <c r="K172" s="235"/>
      <c r="L172" s="234"/>
      <c r="M172" s="83"/>
      <c r="N172" s="92"/>
      <c r="O172" s="93">
        <f>H172</f>
        <v>49663.266683333342</v>
      </c>
      <c r="P172" s="88"/>
      <c r="Q172" s="235"/>
      <c r="R172" s="275"/>
    </row>
    <row r="173" spans="1:18" s="89" customFormat="1" x14ac:dyDescent="0.2">
      <c r="A173" s="275"/>
      <c r="B173" s="234"/>
      <c r="C173" s="63"/>
      <c r="D173" s="487" t="s">
        <v>191</v>
      </c>
      <c r="E173" s="474"/>
      <c r="F173" s="474">
        <f>+E164+F167*E167</f>
        <v>83625.720400000006</v>
      </c>
      <c r="G173" s="479"/>
      <c r="H173" s="249">
        <f>+(F173/30)*((F171*30)/20)</f>
        <v>29269.002140000004</v>
      </c>
      <c r="I173" s="251">
        <v>0</v>
      </c>
      <c r="J173" s="93">
        <f>+(H171+H172+H173)*C164</f>
        <v>664312.31162333337</v>
      </c>
      <c r="K173" s="235"/>
      <c r="L173" s="234"/>
      <c r="M173" s="83"/>
      <c r="N173" s="92"/>
      <c r="O173" s="93">
        <f>H173</f>
        <v>29269.002140000004</v>
      </c>
      <c r="P173" s="88"/>
      <c r="Q173" s="235"/>
      <c r="R173" s="275"/>
    </row>
    <row r="174" spans="1:18" s="89" customFormat="1" x14ac:dyDescent="0.2">
      <c r="A174" s="275"/>
      <c r="B174" s="200"/>
      <c r="C174" s="63"/>
      <c r="D174" s="488"/>
      <c r="E174" s="466"/>
      <c r="F174" s="486"/>
      <c r="G174" s="483"/>
      <c r="H174" s="453"/>
      <c r="I174" s="253"/>
      <c r="J174" s="79"/>
      <c r="K174" s="201"/>
      <c r="L174" s="200"/>
      <c r="M174" s="87"/>
      <c r="N174" s="79"/>
      <c r="O174" s="79"/>
      <c r="P174" s="88"/>
      <c r="Q174" s="201"/>
      <c r="R174" s="275"/>
    </row>
    <row r="175" spans="1:18" s="89" customFormat="1" ht="15" customHeight="1" x14ac:dyDescent="0.2">
      <c r="A175" s="275"/>
      <c r="B175" s="198"/>
      <c r="C175" s="13">
        <v>1</v>
      </c>
      <c r="D175" s="264" t="s">
        <v>163</v>
      </c>
      <c r="E175" s="489">
        <v>34474.22</v>
      </c>
      <c r="F175" s="486"/>
      <c r="G175" s="480"/>
      <c r="H175" s="481"/>
      <c r="I175" s="254"/>
      <c r="J175" s="146"/>
      <c r="K175" s="199"/>
      <c r="L175" s="198"/>
      <c r="M175" s="87"/>
      <c r="N175" s="79"/>
      <c r="O175" s="79"/>
      <c r="P175" s="88"/>
      <c r="Q175" s="199"/>
      <c r="R175" s="275"/>
    </row>
    <row r="176" spans="1:18" s="89" customFormat="1" x14ac:dyDescent="0.2">
      <c r="A176" s="275"/>
      <c r="B176" s="200"/>
      <c r="C176" s="63"/>
      <c r="D176" s="469" t="s">
        <v>84</v>
      </c>
      <c r="E176" s="493" t="s">
        <v>156</v>
      </c>
      <c r="F176" s="474">
        <f>E175</f>
        <v>34474.22</v>
      </c>
      <c r="G176" s="482">
        <v>2</v>
      </c>
      <c r="H176" s="249">
        <f>+G176*F176</f>
        <v>68948.44</v>
      </c>
      <c r="I176" s="253"/>
      <c r="J176" s="79"/>
      <c r="K176" s="201"/>
      <c r="L176" s="200"/>
      <c r="M176" s="83">
        <f>H176</f>
        <v>68948.44</v>
      </c>
      <c r="N176" s="91"/>
      <c r="O176" s="83"/>
      <c r="P176" s="31"/>
      <c r="Q176" s="201"/>
      <c r="R176" s="275"/>
    </row>
    <row r="177" spans="1:18" s="89" customFormat="1" x14ac:dyDescent="0.2">
      <c r="A177" s="275"/>
      <c r="B177" s="200"/>
      <c r="C177" s="63"/>
      <c r="D177" s="469" t="s">
        <v>77</v>
      </c>
      <c r="E177" s="493" t="s">
        <v>156</v>
      </c>
      <c r="F177" s="474">
        <f>E175</f>
        <v>34474.22</v>
      </c>
      <c r="G177" s="496">
        <v>4</v>
      </c>
      <c r="H177" s="249">
        <f>+G177*F177</f>
        <v>137896.88</v>
      </c>
      <c r="I177" s="253"/>
      <c r="J177" s="79"/>
      <c r="K177" s="201"/>
      <c r="L177" s="200"/>
      <c r="M177" s="83"/>
      <c r="N177" s="91">
        <f>H177</f>
        <v>137896.88</v>
      </c>
      <c r="O177" s="83"/>
      <c r="P177" s="31"/>
      <c r="Q177" s="201"/>
      <c r="R177" s="275"/>
    </row>
    <row r="178" spans="1:18" s="89" customFormat="1" x14ac:dyDescent="0.2">
      <c r="A178" s="275"/>
      <c r="B178" s="200"/>
      <c r="C178" s="63"/>
      <c r="D178" s="469" t="s">
        <v>158</v>
      </c>
      <c r="E178" s="247">
        <v>66</v>
      </c>
      <c r="F178" s="474">
        <f>E175/150*1.5</f>
        <v>344.74220000000003</v>
      </c>
      <c r="G178" s="482">
        <f>+F182</f>
        <v>6</v>
      </c>
      <c r="H178" s="249">
        <f>+G178*F178*E178</f>
        <v>136517.9112</v>
      </c>
      <c r="I178" s="253"/>
      <c r="J178" s="79"/>
      <c r="K178" s="201"/>
      <c r="L178" s="200"/>
      <c r="M178" s="83"/>
      <c r="N178" s="91">
        <f>H178</f>
        <v>136517.9112</v>
      </c>
      <c r="O178" s="83"/>
      <c r="P178" s="31"/>
      <c r="Q178" s="201"/>
      <c r="R178" s="275"/>
    </row>
    <row r="179" spans="1:18" s="89" customFormat="1" x14ac:dyDescent="0.2">
      <c r="A179" s="275"/>
      <c r="B179" s="200"/>
      <c r="C179" s="63"/>
      <c r="D179" s="469" t="s">
        <v>14</v>
      </c>
      <c r="E179" s="494" t="s">
        <v>119</v>
      </c>
      <c r="F179" s="474">
        <v>0</v>
      </c>
      <c r="G179" s="249">
        <f>$H$3</f>
        <v>80</v>
      </c>
      <c r="H179" s="249">
        <f>+G179*F179</f>
        <v>0</v>
      </c>
      <c r="I179" s="253"/>
      <c r="J179" s="79"/>
      <c r="K179" s="201"/>
      <c r="L179" s="200"/>
      <c r="M179" s="83"/>
      <c r="N179" s="91">
        <f>H179</f>
        <v>0</v>
      </c>
      <c r="O179" s="83"/>
      <c r="P179" s="31"/>
      <c r="Q179" s="201"/>
      <c r="R179" s="275"/>
    </row>
    <row r="180" spans="1:18" s="89" customFormat="1" x14ac:dyDescent="0.2">
      <c r="A180" s="275"/>
      <c r="B180" s="200"/>
      <c r="C180" s="63"/>
      <c r="D180" s="469" t="s">
        <v>16</v>
      </c>
      <c r="E180" s="494" t="s">
        <v>119</v>
      </c>
      <c r="F180" s="474">
        <v>0</v>
      </c>
      <c r="G180" s="249">
        <f>$H$4</f>
        <v>40</v>
      </c>
      <c r="H180" s="249">
        <f>+G180*F180</f>
        <v>0</v>
      </c>
      <c r="I180" s="253"/>
      <c r="J180" s="79"/>
      <c r="K180" s="201"/>
      <c r="L180" s="200"/>
      <c r="M180" s="83"/>
      <c r="N180" s="91">
        <f>H180</f>
        <v>0</v>
      </c>
      <c r="O180" s="83"/>
      <c r="P180" s="31"/>
      <c r="Q180" s="201"/>
      <c r="R180" s="275"/>
    </row>
    <row r="181" spans="1:18" s="89" customFormat="1" x14ac:dyDescent="0.2">
      <c r="A181" s="275"/>
      <c r="B181" s="200"/>
      <c r="C181" s="63"/>
      <c r="D181" s="469" t="s">
        <v>13</v>
      </c>
      <c r="E181" s="493" t="s">
        <v>60</v>
      </c>
      <c r="F181" s="474">
        <f>E175</f>
        <v>34474.22</v>
      </c>
      <c r="G181" s="249">
        <v>0</v>
      </c>
      <c r="H181" s="249">
        <f>+G181*F181</f>
        <v>0</v>
      </c>
      <c r="I181" s="253"/>
      <c r="J181" s="79"/>
      <c r="K181" s="201"/>
      <c r="L181" s="200"/>
      <c r="M181" s="83"/>
      <c r="N181" s="91"/>
      <c r="O181" s="83">
        <f>SUM(H181)</f>
        <v>0</v>
      </c>
      <c r="P181" s="31"/>
      <c r="Q181" s="201"/>
      <c r="R181" s="275"/>
    </row>
    <row r="182" spans="1:18" s="89" customFormat="1" x14ac:dyDescent="0.2">
      <c r="A182" s="275"/>
      <c r="B182" s="237"/>
      <c r="C182" s="63"/>
      <c r="D182" s="469" t="s">
        <v>157</v>
      </c>
      <c r="E182" s="494" t="s">
        <v>117</v>
      </c>
      <c r="F182" s="486">
        <f>+G176+G177+G181</f>
        <v>6</v>
      </c>
      <c r="G182" s="248" t="s">
        <v>143</v>
      </c>
      <c r="H182" s="249">
        <f>SUM(H176:H181)</f>
        <v>343363.23120000004</v>
      </c>
      <c r="I182" s="245"/>
      <c r="J182" s="79"/>
      <c r="K182" s="238"/>
      <c r="L182" s="237"/>
      <c r="M182" s="239"/>
      <c r="N182" s="240"/>
      <c r="O182" s="91"/>
      <c r="P182" s="31"/>
      <c r="Q182" s="238"/>
      <c r="R182" s="275"/>
    </row>
    <row r="183" spans="1:18" s="89" customFormat="1" x14ac:dyDescent="0.2">
      <c r="A183" s="275"/>
      <c r="B183" s="234"/>
      <c r="C183" s="63"/>
      <c r="D183" s="487" t="s">
        <v>142</v>
      </c>
      <c r="E183" s="494" t="s">
        <v>117</v>
      </c>
      <c r="F183" s="474">
        <f>+E175+F178*E178</f>
        <v>57227.205200000004</v>
      </c>
      <c r="G183" s="478"/>
      <c r="H183" s="249">
        <f>+((F183/2)*F182)/6</f>
        <v>28613.602600000002</v>
      </c>
      <c r="I183" s="250"/>
      <c r="J183" s="236"/>
      <c r="K183" s="235"/>
      <c r="L183" s="234"/>
      <c r="M183" s="83"/>
      <c r="N183" s="92"/>
      <c r="O183" s="93">
        <f>H183</f>
        <v>28613.602600000002</v>
      </c>
      <c r="P183" s="88"/>
      <c r="Q183" s="235"/>
      <c r="R183" s="275"/>
    </row>
    <row r="184" spans="1:18" s="89" customFormat="1" x14ac:dyDescent="0.2">
      <c r="A184" s="275"/>
      <c r="B184" s="234"/>
      <c r="C184" s="63"/>
      <c r="D184" s="487" t="s">
        <v>191</v>
      </c>
      <c r="E184" s="474"/>
      <c r="F184" s="474">
        <f>+E175+F178*E178</f>
        <v>57227.205200000004</v>
      </c>
      <c r="G184" s="479"/>
      <c r="H184" s="249">
        <f>+(F184/30)*((F182*30)/20)</f>
        <v>17168.16156</v>
      </c>
      <c r="I184" s="251">
        <v>0</v>
      </c>
      <c r="J184" s="93">
        <f>+(H182+H183+H184)*C175</f>
        <v>389144.99536</v>
      </c>
      <c r="K184" s="235"/>
      <c r="L184" s="234"/>
      <c r="M184" s="83"/>
      <c r="N184" s="92"/>
      <c r="O184" s="93">
        <f>H184</f>
        <v>17168.16156</v>
      </c>
      <c r="P184" s="88"/>
      <c r="Q184" s="235"/>
      <c r="R184" s="275"/>
    </row>
    <row r="185" spans="1:18" s="89" customFormat="1" x14ac:dyDescent="0.2">
      <c r="A185" s="275"/>
      <c r="B185" s="200"/>
      <c r="C185" s="63"/>
      <c r="D185" s="488"/>
      <c r="E185" s="466"/>
      <c r="F185" s="486"/>
      <c r="G185" s="483"/>
      <c r="H185" s="453"/>
      <c r="I185" s="253"/>
      <c r="J185" s="79"/>
      <c r="K185" s="201"/>
      <c r="L185" s="200"/>
      <c r="M185" s="87"/>
      <c r="N185" s="79"/>
      <c r="O185" s="79"/>
      <c r="P185" s="88"/>
      <c r="Q185" s="201"/>
      <c r="R185" s="275"/>
    </row>
    <row r="186" spans="1:18" s="89" customFormat="1" ht="15" customHeight="1" x14ac:dyDescent="0.2">
      <c r="A186" s="275"/>
      <c r="B186" s="198"/>
      <c r="C186" s="13">
        <v>1</v>
      </c>
      <c r="D186" s="264" t="s">
        <v>164</v>
      </c>
      <c r="E186" s="489">
        <v>43881.8</v>
      </c>
      <c r="F186" s="486"/>
      <c r="G186" s="480"/>
      <c r="H186" s="481"/>
      <c r="I186" s="254"/>
      <c r="J186" s="146"/>
      <c r="K186" s="199"/>
      <c r="L186" s="198"/>
      <c r="M186" s="87"/>
      <c r="N186" s="79"/>
      <c r="O186" s="79"/>
      <c r="P186" s="88"/>
      <c r="Q186" s="199"/>
      <c r="R186" s="275"/>
    </row>
    <row r="187" spans="1:18" s="89" customFormat="1" x14ac:dyDescent="0.2">
      <c r="A187" s="275"/>
      <c r="B187" s="200"/>
      <c r="C187" s="63"/>
      <c r="D187" s="75" t="s">
        <v>84</v>
      </c>
      <c r="E187" s="77" t="s">
        <v>156</v>
      </c>
      <c r="F187" s="244">
        <f>E186</f>
        <v>43881.8</v>
      </c>
      <c r="G187" s="62">
        <v>0.5</v>
      </c>
      <c r="H187" s="249">
        <f>+G187*F187</f>
        <v>21940.9</v>
      </c>
      <c r="I187" s="253"/>
      <c r="J187" s="79"/>
      <c r="K187" s="201"/>
      <c r="L187" s="200"/>
      <c r="M187" s="83">
        <f>H187</f>
        <v>21940.9</v>
      </c>
      <c r="N187" s="91"/>
      <c r="O187" s="83"/>
      <c r="P187" s="31"/>
      <c r="Q187" s="201"/>
      <c r="R187" s="275"/>
    </row>
    <row r="188" spans="1:18" s="89" customFormat="1" x14ac:dyDescent="0.2">
      <c r="A188" s="275"/>
      <c r="B188" s="200"/>
      <c r="C188" s="63"/>
      <c r="D188" s="75" t="s">
        <v>77</v>
      </c>
      <c r="E188" s="77" t="s">
        <v>156</v>
      </c>
      <c r="F188" s="244">
        <f>E186</f>
        <v>43881.8</v>
      </c>
      <c r="G188" s="246">
        <v>4</v>
      </c>
      <c r="H188" s="249">
        <f>+G188*F188</f>
        <v>175527.2</v>
      </c>
      <c r="I188" s="253"/>
      <c r="J188" s="79"/>
      <c r="K188" s="201"/>
      <c r="L188" s="200"/>
      <c r="M188" s="83"/>
      <c r="N188" s="91">
        <f>H188</f>
        <v>175527.2</v>
      </c>
      <c r="O188" s="83"/>
      <c r="P188" s="31"/>
      <c r="Q188" s="201"/>
      <c r="R188" s="275"/>
    </row>
    <row r="189" spans="1:18" s="89" customFormat="1" x14ac:dyDescent="0.2">
      <c r="A189" s="275"/>
      <c r="B189" s="200"/>
      <c r="C189" s="63"/>
      <c r="D189" s="75" t="s">
        <v>158</v>
      </c>
      <c r="E189" s="247">
        <v>66</v>
      </c>
      <c r="F189" s="244">
        <f>E186/150*1.5</f>
        <v>438.81800000000004</v>
      </c>
      <c r="G189" s="62">
        <f>+F193</f>
        <v>4.5</v>
      </c>
      <c r="H189" s="249">
        <f>+G189*F189*E189</f>
        <v>130328.94600000001</v>
      </c>
      <c r="I189" s="253"/>
      <c r="J189" s="79"/>
      <c r="K189" s="201"/>
      <c r="L189" s="200"/>
      <c r="M189" s="83"/>
      <c r="N189" s="91">
        <f>H189</f>
        <v>130328.94600000001</v>
      </c>
      <c r="O189" s="83"/>
      <c r="P189" s="31"/>
      <c r="Q189" s="201"/>
      <c r="R189" s="275"/>
    </row>
    <row r="190" spans="1:18" s="89" customFormat="1" x14ac:dyDescent="0.2">
      <c r="A190" s="275"/>
      <c r="B190" s="200"/>
      <c r="C190" s="63"/>
      <c r="D190" s="75" t="s">
        <v>14</v>
      </c>
      <c r="E190" s="10" t="s">
        <v>119</v>
      </c>
      <c r="F190" s="244">
        <v>0</v>
      </c>
      <c r="G190" s="28">
        <f>$H$3</f>
        <v>80</v>
      </c>
      <c r="H190" s="249">
        <f>+G190*F190</f>
        <v>0</v>
      </c>
      <c r="I190" s="253"/>
      <c r="J190" s="79"/>
      <c r="K190" s="201"/>
      <c r="L190" s="200"/>
      <c r="M190" s="83"/>
      <c r="N190" s="91">
        <f>H190</f>
        <v>0</v>
      </c>
      <c r="O190" s="83"/>
      <c r="P190" s="31"/>
      <c r="Q190" s="201"/>
      <c r="R190" s="275"/>
    </row>
    <row r="191" spans="1:18" s="89" customFormat="1" x14ac:dyDescent="0.2">
      <c r="A191" s="275"/>
      <c r="B191" s="200"/>
      <c r="C191" s="63"/>
      <c r="D191" s="75" t="s">
        <v>16</v>
      </c>
      <c r="E191" s="10" t="s">
        <v>119</v>
      </c>
      <c r="F191" s="474">
        <v>0</v>
      </c>
      <c r="G191" s="249">
        <f>$H$4</f>
        <v>40</v>
      </c>
      <c r="H191" s="249">
        <f>+G191*F191</f>
        <v>0</v>
      </c>
      <c r="I191" s="253"/>
      <c r="J191" s="79"/>
      <c r="K191" s="201"/>
      <c r="L191" s="200"/>
      <c r="M191" s="83"/>
      <c r="N191" s="91">
        <f>H191</f>
        <v>0</v>
      </c>
      <c r="O191" s="83"/>
      <c r="P191" s="31"/>
      <c r="Q191" s="201"/>
      <c r="R191" s="275"/>
    </row>
    <row r="192" spans="1:18" s="89" customFormat="1" x14ac:dyDescent="0.2">
      <c r="A192" s="275"/>
      <c r="B192" s="200"/>
      <c r="C192" s="63"/>
      <c r="D192" s="75" t="s">
        <v>13</v>
      </c>
      <c r="E192" s="77" t="s">
        <v>60</v>
      </c>
      <c r="F192" s="474">
        <f>E186</f>
        <v>43881.8</v>
      </c>
      <c r="G192" s="249">
        <v>0</v>
      </c>
      <c r="H192" s="249">
        <f>+G192*F192</f>
        <v>0</v>
      </c>
      <c r="I192" s="253"/>
      <c r="J192" s="79"/>
      <c r="K192" s="201"/>
      <c r="L192" s="200"/>
      <c r="M192" s="83"/>
      <c r="N192" s="91"/>
      <c r="O192" s="83">
        <f>SUM(H192)</f>
        <v>0</v>
      </c>
      <c r="P192" s="31"/>
      <c r="Q192" s="201"/>
      <c r="R192" s="275"/>
    </row>
    <row r="193" spans="1:18" s="89" customFormat="1" x14ac:dyDescent="0.2">
      <c r="A193" s="275"/>
      <c r="B193" s="237"/>
      <c r="C193" s="63"/>
      <c r="D193" s="75" t="s">
        <v>157</v>
      </c>
      <c r="E193" s="10" t="s">
        <v>117</v>
      </c>
      <c r="F193" s="486">
        <f>+G187+G188+G192</f>
        <v>4.5</v>
      </c>
      <c r="G193" s="248" t="s">
        <v>143</v>
      </c>
      <c r="H193" s="249">
        <f>SUM(H187:H192)</f>
        <v>327797.04600000003</v>
      </c>
      <c r="I193" s="245"/>
      <c r="J193" s="79"/>
      <c r="K193" s="238"/>
      <c r="L193" s="237"/>
      <c r="M193" s="239"/>
      <c r="N193" s="240"/>
      <c r="O193" s="91"/>
      <c r="P193" s="31"/>
      <c r="Q193" s="238"/>
      <c r="R193" s="275"/>
    </row>
    <row r="194" spans="1:18" s="89" customFormat="1" x14ac:dyDescent="0.2">
      <c r="A194" s="275"/>
      <c r="B194" s="234"/>
      <c r="C194" s="63"/>
      <c r="D194" s="116" t="s">
        <v>142</v>
      </c>
      <c r="E194" s="10" t="s">
        <v>117</v>
      </c>
      <c r="F194" s="474">
        <f>+E186+F189*E189</f>
        <v>72843.788</v>
      </c>
      <c r="G194" s="478"/>
      <c r="H194" s="249">
        <f>+((F194/2)*F193)/6</f>
        <v>27316.420499999997</v>
      </c>
      <c r="I194" s="250"/>
      <c r="J194" s="236"/>
      <c r="K194" s="235"/>
      <c r="L194" s="234"/>
      <c r="M194" s="83"/>
      <c r="N194" s="92"/>
      <c r="O194" s="93">
        <f>H194</f>
        <v>27316.420499999997</v>
      </c>
      <c r="P194" s="88"/>
      <c r="Q194" s="235"/>
      <c r="R194" s="275"/>
    </row>
    <row r="195" spans="1:18" s="89" customFormat="1" x14ac:dyDescent="0.2">
      <c r="A195" s="275"/>
      <c r="B195" s="234"/>
      <c r="C195" s="63"/>
      <c r="D195" s="116" t="s">
        <v>191</v>
      </c>
      <c r="E195" s="244"/>
      <c r="F195" s="474">
        <f>+E186+F189*E189</f>
        <v>72843.788</v>
      </c>
      <c r="G195" s="479"/>
      <c r="H195" s="249">
        <f>+(F195/30)*((F193*30)/20)</f>
        <v>16389.852299999999</v>
      </c>
      <c r="I195" s="251">
        <v>0</v>
      </c>
      <c r="J195" s="93">
        <f>+(H193+H194+H195)*C186</f>
        <v>371503.31880000001</v>
      </c>
      <c r="K195" s="235"/>
      <c r="L195" s="234"/>
      <c r="M195" s="83"/>
      <c r="N195" s="92"/>
      <c r="O195" s="93">
        <f>H195</f>
        <v>16389.852299999999</v>
      </c>
      <c r="P195" s="88"/>
      <c r="Q195" s="235"/>
      <c r="R195" s="275"/>
    </row>
    <row r="196" spans="1:18" s="89" customFormat="1" x14ac:dyDescent="0.2">
      <c r="A196" s="275"/>
      <c r="B196" s="200"/>
      <c r="C196" s="63"/>
      <c r="D196" s="94"/>
      <c r="E196" s="7"/>
      <c r="F196" s="486"/>
      <c r="G196" s="483"/>
      <c r="H196" s="453"/>
      <c r="I196" s="253"/>
      <c r="J196" s="79"/>
      <c r="K196" s="201"/>
      <c r="L196" s="200"/>
      <c r="M196" s="87"/>
      <c r="N196" s="79"/>
      <c r="O196" s="79"/>
      <c r="P196" s="88"/>
      <c r="Q196" s="201"/>
      <c r="R196" s="275"/>
    </row>
    <row r="197" spans="1:18" s="89" customFormat="1" ht="15" customHeight="1" x14ac:dyDescent="0.2">
      <c r="A197" s="275"/>
      <c r="B197" s="198"/>
      <c r="C197" s="13">
        <v>1</v>
      </c>
      <c r="D197" s="260" t="s">
        <v>165</v>
      </c>
      <c r="E197" s="18">
        <v>37371.11</v>
      </c>
      <c r="F197" s="486"/>
      <c r="G197" s="480"/>
      <c r="H197" s="481"/>
      <c r="I197" s="254"/>
      <c r="J197" s="146"/>
      <c r="K197" s="199"/>
      <c r="L197" s="198"/>
      <c r="M197" s="87"/>
      <c r="N197" s="79"/>
      <c r="O197" s="79"/>
      <c r="P197" s="88"/>
      <c r="Q197" s="199"/>
      <c r="R197" s="275"/>
    </row>
    <row r="198" spans="1:18" s="89" customFormat="1" x14ac:dyDescent="0.2">
      <c r="A198" s="275"/>
      <c r="B198" s="200"/>
      <c r="C198" s="63"/>
      <c r="D198" s="75" t="s">
        <v>84</v>
      </c>
      <c r="E198" s="77" t="s">
        <v>156</v>
      </c>
      <c r="F198" s="474">
        <f>E197</f>
        <v>37371.11</v>
      </c>
      <c r="G198" s="482">
        <v>0.25</v>
      </c>
      <c r="H198" s="249">
        <f>+G198*F198</f>
        <v>9342.7775000000001</v>
      </c>
      <c r="I198" s="253"/>
      <c r="J198" s="79"/>
      <c r="K198" s="201"/>
      <c r="L198" s="200"/>
      <c r="M198" s="83">
        <f>H198</f>
        <v>9342.7775000000001</v>
      </c>
      <c r="N198" s="91"/>
      <c r="O198" s="83"/>
      <c r="P198" s="31"/>
      <c r="Q198" s="201"/>
      <c r="R198" s="275"/>
    </row>
    <row r="199" spans="1:18" s="89" customFormat="1" x14ac:dyDescent="0.2">
      <c r="A199" s="275"/>
      <c r="B199" s="200"/>
      <c r="C199" s="63"/>
      <c r="D199" s="75" t="s">
        <v>77</v>
      </c>
      <c r="E199" s="77" t="s">
        <v>156</v>
      </c>
      <c r="F199" s="474">
        <f>E197</f>
        <v>37371.11</v>
      </c>
      <c r="G199" s="496">
        <v>4</v>
      </c>
      <c r="H199" s="249">
        <f>+G199*F199</f>
        <v>149484.44</v>
      </c>
      <c r="I199" s="253"/>
      <c r="J199" s="79"/>
      <c r="K199" s="201"/>
      <c r="L199" s="200"/>
      <c r="M199" s="83"/>
      <c r="N199" s="91">
        <f>H199</f>
        <v>149484.44</v>
      </c>
      <c r="O199" s="83"/>
      <c r="P199" s="31"/>
      <c r="Q199" s="201"/>
      <c r="R199" s="275"/>
    </row>
    <row r="200" spans="1:18" s="89" customFormat="1" x14ac:dyDescent="0.2">
      <c r="A200" s="275"/>
      <c r="B200" s="200"/>
      <c r="C200" s="63"/>
      <c r="D200" s="75" t="s">
        <v>158</v>
      </c>
      <c r="E200" s="247">
        <v>66</v>
      </c>
      <c r="F200" s="474">
        <f>E197/150*1.5</f>
        <v>373.71109999999999</v>
      </c>
      <c r="G200" s="482">
        <f>+F204</f>
        <v>4.25</v>
      </c>
      <c r="H200" s="249">
        <f>+G200*F200*E200</f>
        <v>104825.96355</v>
      </c>
      <c r="I200" s="253"/>
      <c r="J200" s="79"/>
      <c r="K200" s="201"/>
      <c r="L200" s="200"/>
      <c r="M200" s="83"/>
      <c r="N200" s="91">
        <f>H200</f>
        <v>104825.96355</v>
      </c>
      <c r="O200" s="83"/>
      <c r="P200" s="31"/>
      <c r="Q200" s="201"/>
      <c r="R200" s="275"/>
    </row>
    <row r="201" spans="1:18" s="89" customFormat="1" x14ac:dyDescent="0.2">
      <c r="A201" s="275"/>
      <c r="B201" s="200"/>
      <c r="C201" s="63"/>
      <c r="D201" s="75" t="s">
        <v>14</v>
      </c>
      <c r="E201" s="10" t="s">
        <v>119</v>
      </c>
      <c r="F201" s="474">
        <v>0</v>
      </c>
      <c r="G201" s="249">
        <f>$H$3</f>
        <v>80</v>
      </c>
      <c r="H201" s="249">
        <f>+G201*F201</f>
        <v>0</v>
      </c>
      <c r="I201" s="253"/>
      <c r="J201" s="79"/>
      <c r="K201" s="201"/>
      <c r="L201" s="200"/>
      <c r="M201" s="83"/>
      <c r="N201" s="91">
        <f>H201</f>
        <v>0</v>
      </c>
      <c r="O201" s="83"/>
      <c r="P201" s="31"/>
      <c r="Q201" s="201"/>
      <c r="R201" s="275"/>
    </row>
    <row r="202" spans="1:18" s="89" customFormat="1" x14ac:dyDescent="0.2">
      <c r="A202" s="275"/>
      <c r="B202" s="200"/>
      <c r="C202" s="63"/>
      <c r="D202" s="75" t="s">
        <v>16</v>
      </c>
      <c r="E202" s="10" t="s">
        <v>119</v>
      </c>
      <c r="F202" s="474">
        <v>0</v>
      </c>
      <c r="G202" s="249">
        <f>$H$4</f>
        <v>40</v>
      </c>
      <c r="H202" s="249">
        <f>+G202*F202</f>
        <v>0</v>
      </c>
      <c r="I202" s="253"/>
      <c r="J202" s="79"/>
      <c r="K202" s="201"/>
      <c r="L202" s="200"/>
      <c r="M202" s="83"/>
      <c r="N202" s="91">
        <f>H202</f>
        <v>0</v>
      </c>
      <c r="O202" s="83"/>
      <c r="P202" s="31"/>
      <c r="Q202" s="201"/>
      <c r="R202" s="275"/>
    </row>
    <row r="203" spans="1:18" s="89" customFormat="1" x14ac:dyDescent="0.2">
      <c r="A203" s="275"/>
      <c r="B203" s="200"/>
      <c r="C203" s="63"/>
      <c r="D203" s="75" t="s">
        <v>13</v>
      </c>
      <c r="E203" s="77" t="s">
        <v>60</v>
      </c>
      <c r="F203" s="474">
        <f>E197</f>
        <v>37371.11</v>
      </c>
      <c r="G203" s="249">
        <v>0</v>
      </c>
      <c r="H203" s="249">
        <f>+G203*F203</f>
        <v>0</v>
      </c>
      <c r="I203" s="253"/>
      <c r="J203" s="79"/>
      <c r="K203" s="201"/>
      <c r="L203" s="200"/>
      <c r="M203" s="83"/>
      <c r="N203" s="91"/>
      <c r="O203" s="83">
        <f>SUM(H203)</f>
        <v>0</v>
      </c>
      <c r="P203" s="31"/>
      <c r="Q203" s="201"/>
      <c r="R203" s="275"/>
    </row>
    <row r="204" spans="1:18" s="89" customFormat="1" x14ac:dyDescent="0.2">
      <c r="A204" s="275"/>
      <c r="B204" s="237"/>
      <c r="C204" s="63"/>
      <c r="D204" s="75" t="s">
        <v>157</v>
      </c>
      <c r="E204" s="10" t="s">
        <v>117</v>
      </c>
      <c r="F204" s="486">
        <f>+G198+G199+G203</f>
        <v>4.25</v>
      </c>
      <c r="G204" s="248" t="s">
        <v>143</v>
      </c>
      <c r="H204" s="249">
        <f>SUM(H198:H203)</f>
        <v>263653.18105000001</v>
      </c>
      <c r="I204" s="245"/>
      <c r="J204" s="79"/>
      <c r="K204" s="238"/>
      <c r="L204" s="237"/>
      <c r="M204" s="239"/>
      <c r="N204" s="240"/>
      <c r="O204" s="91"/>
      <c r="P204" s="31"/>
      <c r="Q204" s="238"/>
      <c r="R204" s="275"/>
    </row>
    <row r="205" spans="1:18" s="89" customFormat="1" x14ac:dyDescent="0.2">
      <c r="A205" s="275"/>
      <c r="B205" s="234"/>
      <c r="C205" s="63"/>
      <c r="D205" s="116" t="s">
        <v>142</v>
      </c>
      <c r="E205" s="10" t="s">
        <v>117</v>
      </c>
      <c r="F205" s="474">
        <f>+E197+F200*E200</f>
        <v>62036.042600000001</v>
      </c>
      <c r="G205" s="478"/>
      <c r="H205" s="249">
        <f>+((F205/2)*F204)/6</f>
        <v>21971.098420833336</v>
      </c>
      <c r="I205" s="250"/>
      <c r="J205" s="236"/>
      <c r="K205" s="235"/>
      <c r="L205" s="234"/>
      <c r="M205" s="83"/>
      <c r="N205" s="92"/>
      <c r="O205" s="93">
        <f>H205</f>
        <v>21971.098420833336</v>
      </c>
      <c r="P205" s="88"/>
      <c r="Q205" s="235"/>
      <c r="R205" s="275"/>
    </row>
    <row r="206" spans="1:18" s="89" customFormat="1" x14ac:dyDescent="0.2">
      <c r="A206" s="275"/>
      <c r="B206" s="234"/>
      <c r="C206" s="63"/>
      <c r="D206" s="116" t="s">
        <v>191</v>
      </c>
      <c r="E206" s="244"/>
      <c r="F206" s="474">
        <f>+E197+F200*E200</f>
        <v>62036.042600000001</v>
      </c>
      <c r="G206" s="479"/>
      <c r="H206" s="249">
        <f>+(F206/30)*((F204*30)/20)</f>
        <v>13182.659052500001</v>
      </c>
      <c r="I206" s="251">
        <v>0</v>
      </c>
      <c r="J206" s="93">
        <f>+(H204+H205+H206)*C197</f>
        <v>298806.93852333335</v>
      </c>
      <c r="K206" s="235"/>
      <c r="L206" s="234"/>
      <c r="M206" s="83"/>
      <c r="N206" s="92"/>
      <c r="O206" s="93">
        <f>H206</f>
        <v>13182.659052500001</v>
      </c>
      <c r="P206" s="88"/>
      <c r="Q206" s="235"/>
      <c r="R206" s="275"/>
    </row>
    <row r="207" spans="1:18" s="89" customFormat="1" x14ac:dyDescent="0.2">
      <c r="A207" s="275"/>
      <c r="B207" s="200"/>
      <c r="C207" s="63"/>
      <c r="D207" s="94"/>
      <c r="E207" s="255"/>
      <c r="F207" s="486"/>
      <c r="G207" s="483"/>
      <c r="H207" s="453"/>
      <c r="I207" s="253"/>
      <c r="J207" s="79"/>
      <c r="K207" s="201"/>
      <c r="L207" s="200"/>
      <c r="M207" s="87"/>
      <c r="N207" s="79"/>
      <c r="O207" s="79"/>
      <c r="P207" s="88"/>
      <c r="Q207" s="201"/>
      <c r="R207" s="275"/>
    </row>
    <row r="208" spans="1:18" s="89" customFormat="1" ht="15" customHeight="1" x14ac:dyDescent="0.2">
      <c r="A208" s="275"/>
      <c r="B208" s="198"/>
      <c r="C208" s="13">
        <v>1</v>
      </c>
      <c r="D208" s="260" t="s">
        <v>334</v>
      </c>
      <c r="E208" s="18">
        <v>50376.94</v>
      </c>
      <c r="F208" s="241"/>
      <c r="G208" s="52"/>
      <c r="H208" s="242"/>
      <c r="I208" s="243"/>
      <c r="J208" s="146"/>
      <c r="K208" s="199"/>
      <c r="L208" s="198"/>
      <c r="M208" s="87"/>
      <c r="N208" s="79"/>
      <c r="O208" s="79"/>
      <c r="P208" s="88"/>
      <c r="Q208" s="199"/>
      <c r="R208" s="275"/>
    </row>
    <row r="209" spans="1:18" s="89" customFormat="1" x14ac:dyDescent="0.2">
      <c r="A209" s="275"/>
      <c r="B209" s="200"/>
      <c r="C209" s="63"/>
      <c r="D209" s="75" t="s">
        <v>84</v>
      </c>
      <c r="E209" s="77" t="s">
        <v>156</v>
      </c>
      <c r="F209" s="244">
        <f>E208</f>
        <v>50376.94</v>
      </c>
      <c r="G209" s="62">
        <v>1</v>
      </c>
      <c r="H209" s="249">
        <f>+G209*F209</f>
        <v>50376.94</v>
      </c>
      <c r="I209" s="245"/>
      <c r="J209" s="79"/>
      <c r="K209" s="201"/>
      <c r="L209" s="200"/>
      <c r="M209" s="83">
        <f>H209</f>
        <v>50376.94</v>
      </c>
      <c r="N209" s="91"/>
      <c r="O209" s="83"/>
      <c r="P209" s="31"/>
      <c r="Q209" s="201"/>
      <c r="R209" s="275"/>
    </row>
    <row r="210" spans="1:18" s="89" customFormat="1" x14ac:dyDescent="0.2">
      <c r="A210" s="275"/>
      <c r="B210" s="200"/>
      <c r="C210" s="63"/>
      <c r="D210" s="75" t="s">
        <v>77</v>
      </c>
      <c r="E210" s="77" t="s">
        <v>156</v>
      </c>
      <c r="F210" s="244">
        <f>E208</f>
        <v>50376.94</v>
      </c>
      <c r="G210" s="62">
        <v>4</v>
      </c>
      <c r="H210" s="249">
        <f>+G210*F210</f>
        <v>201507.76</v>
      </c>
      <c r="I210" s="245"/>
      <c r="J210" s="79"/>
      <c r="K210" s="201"/>
      <c r="L210" s="200"/>
      <c r="M210" s="83"/>
      <c r="N210" s="91">
        <f>H210</f>
        <v>201507.76</v>
      </c>
      <c r="O210" s="83"/>
      <c r="P210" s="31"/>
      <c r="Q210" s="201"/>
      <c r="R210" s="275"/>
    </row>
    <row r="211" spans="1:18" s="89" customFormat="1" x14ac:dyDescent="0.2">
      <c r="A211" s="275"/>
      <c r="B211" s="200"/>
      <c r="C211" s="63"/>
      <c r="D211" s="75" t="s">
        <v>158</v>
      </c>
      <c r="E211" s="247">
        <v>66</v>
      </c>
      <c r="F211" s="244">
        <f>E208/150*1.5</f>
        <v>503.76940000000002</v>
      </c>
      <c r="G211" s="62">
        <f>+F215</f>
        <v>5</v>
      </c>
      <c r="H211" s="249">
        <f>+G211*F211*E211</f>
        <v>166243.902</v>
      </c>
      <c r="I211" s="245"/>
      <c r="J211" s="79"/>
      <c r="K211" s="201"/>
      <c r="L211" s="200"/>
      <c r="M211" s="83"/>
      <c r="N211" s="91">
        <f>H211</f>
        <v>166243.902</v>
      </c>
      <c r="O211" s="83"/>
      <c r="P211" s="31"/>
      <c r="Q211" s="201"/>
      <c r="R211" s="275"/>
    </row>
    <row r="212" spans="1:18" s="89" customFormat="1" x14ac:dyDescent="0.2">
      <c r="A212" s="275"/>
      <c r="B212" s="200"/>
      <c r="C212" s="63"/>
      <c r="D212" s="75" t="s">
        <v>14</v>
      </c>
      <c r="E212" s="10" t="s">
        <v>119</v>
      </c>
      <c r="F212" s="244">
        <v>0</v>
      </c>
      <c r="G212" s="28">
        <f>$H$3</f>
        <v>80</v>
      </c>
      <c r="H212" s="249">
        <f>+G212*F212</f>
        <v>0</v>
      </c>
      <c r="I212" s="245"/>
      <c r="J212" s="79"/>
      <c r="K212" s="201"/>
      <c r="L212" s="200"/>
      <c r="M212" s="83"/>
      <c r="N212" s="91">
        <f>H212</f>
        <v>0</v>
      </c>
      <c r="O212" s="83"/>
      <c r="P212" s="31"/>
      <c r="Q212" s="201"/>
      <c r="R212" s="275"/>
    </row>
    <row r="213" spans="1:18" s="89" customFormat="1" x14ac:dyDescent="0.2">
      <c r="A213" s="275"/>
      <c r="B213" s="200"/>
      <c r="C213" s="63"/>
      <c r="D213" s="75" t="s">
        <v>16</v>
      </c>
      <c r="E213" s="10" t="s">
        <v>119</v>
      </c>
      <c r="F213" s="244">
        <v>0</v>
      </c>
      <c r="G213" s="28">
        <f>$H$4</f>
        <v>40</v>
      </c>
      <c r="H213" s="249">
        <f>+G213*F213</f>
        <v>0</v>
      </c>
      <c r="I213" s="245"/>
      <c r="J213" s="79"/>
      <c r="K213" s="201"/>
      <c r="L213" s="200"/>
      <c r="M213" s="83"/>
      <c r="N213" s="91">
        <f>H213</f>
        <v>0</v>
      </c>
      <c r="O213" s="83"/>
      <c r="P213" s="31"/>
      <c r="Q213" s="201"/>
      <c r="R213" s="275"/>
    </row>
    <row r="214" spans="1:18" s="89" customFormat="1" x14ac:dyDescent="0.2">
      <c r="A214" s="275"/>
      <c r="B214" s="200"/>
      <c r="C214" s="63"/>
      <c r="D214" s="469" t="s">
        <v>13</v>
      </c>
      <c r="E214" s="493" t="s">
        <v>60</v>
      </c>
      <c r="F214" s="474">
        <f>E208</f>
        <v>50376.94</v>
      </c>
      <c r="G214" s="249">
        <v>0</v>
      </c>
      <c r="H214" s="249">
        <f>+G214*F214</f>
        <v>0</v>
      </c>
      <c r="I214" s="245"/>
      <c r="J214" s="79"/>
      <c r="K214" s="201"/>
      <c r="L214" s="200"/>
      <c r="M214" s="83"/>
      <c r="N214" s="91"/>
      <c r="O214" s="83">
        <f>SUM(H214)</f>
        <v>0</v>
      </c>
      <c r="P214" s="31"/>
      <c r="Q214" s="201"/>
      <c r="R214" s="275"/>
    </row>
    <row r="215" spans="1:18" s="89" customFormat="1" x14ac:dyDescent="0.2">
      <c r="A215" s="275"/>
      <c r="B215" s="237"/>
      <c r="C215" s="63"/>
      <c r="D215" s="469" t="s">
        <v>157</v>
      </c>
      <c r="E215" s="494" t="s">
        <v>117</v>
      </c>
      <c r="F215" s="486">
        <f>+G209+G210+G214</f>
        <v>5</v>
      </c>
      <c r="G215" s="248" t="s">
        <v>143</v>
      </c>
      <c r="H215" s="249">
        <f>SUM(H209:H214)</f>
        <v>418128.60200000001</v>
      </c>
      <c r="I215" s="245"/>
      <c r="J215" s="79"/>
      <c r="K215" s="238"/>
      <c r="L215" s="237"/>
      <c r="M215" s="239"/>
      <c r="N215" s="240"/>
      <c r="O215" s="91"/>
      <c r="P215" s="31"/>
      <c r="Q215" s="238"/>
      <c r="R215" s="275"/>
    </row>
    <row r="216" spans="1:18" s="89" customFormat="1" x14ac:dyDescent="0.2">
      <c r="A216" s="275"/>
      <c r="B216" s="234"/>
      <c r="C216" s="63"/>
      <c r="D216" s="487" t="s">
        <v>142</v>
      </c>
      <c r="E216" s="494" t="s">
        <v>117</v>
      </c>
      <c r="F216" s="474">
        <f>+E208+F211*E211</f>
        <v>83625.720400000006</v>
      </c>
      <c r="G216" s="478"/>
      <c r="H216" s="249">
        <f>+((F216/2)*F215)/6</f>
        <v>34844.050166666668</v>
      </c>
      <c r="I216" s="250"/>
      <c r="J216" s="236"/>
      <c r="K216" s="235"/>
      <c r="L216" s="234"/>
      <c r="M216" s="83"/>
      <c r="N216" s="92"/>
      <c r="O216" s="93">
        <f>H216</f>
        <v>34844.050166666668</v>
      </c>
      <c r="P216" s="88"/>
      <c r="Q216" s="235"/>
      <c r="R216" s="275"/>
    </row>
    <row r="217" spans="1:18" s="89" customFormat="1" x14ac:dyDescent="0.2">
      <c r="A217" s="275"/>
      <c r="B217" s="234"/>
      <c r="C217" s="63"/>
      <c r="D217" s="487" t="s">
        <v>191</v>
      </c>
      <c r="E217" s="474"/>
      <c r="F217" s="474">
        <f>+E208+F211*E211</f>
        <v>83625.720400000006</v>
      </c>
      <c r="G217" s="479"/>
      <c r="H217" s="249">
        <f>+(F217/30)*((F215*30)/20)</f>
        <v>20906.430100000001</v>
      </c>
      <c r="I217" s="251">
        <v>0</v>
      </c>
      <c r="J217" s="93">
        <f>+(H215+H216+H217)*C208</f>
        <v>473879.08226666669</v>
      </c>
      <c r="K217" s="235"/>
      <c r="L217" s="234"/>
      <c r="M217" s="83"/>
      <c r="N217" s="92"/>
      <c r="O217" s="93">
        <f>H217</f>
        <v>20906.430100000001</v>
      </c>
      <c r="P217" s="88"/>
      <c r="Q217" s="235"/>
      <c r="R217" s="275"/>
    </row>
    <row r="218" spans="1:18" s="89" customFormat="1" x14ac:dyDescent="0.2">
      <c r="A218" s="275"/>
      <c r="B218" s="200"/>
      <c r="C218" s="63"/>
      <c r="D218" s="488"/>
      <c r="E218" s="466"/>
      <c r="F218" s="486"/>
      <c r="G218" s="483"/>
      <c r="H218" s="453"/>
      <c r="I218" s="253"/>
      <c r="J218" s="79"/>
      <c r="K218" s="201"/>
      <c r="L218" s="200"/>
      <c r="M218" s="87"/>
      <c r="N218" s="79"/>
      <c r="O218" s="79"/>
      <c r="P218" s="88"/>
      <c r="Q218" s="201"/>
      <c r="R218" s="275"/>
    </row>
    <row r="219" spans="1:18" s="89" customFormat="1" ht="15" customHeight="1" x14ac:dyDescent="0.2">
      <c r="A219" s="275"/>
      <c r="B219" s="198"/>
      <c r="C219" s="13">
        <v>1</v>
      </c>
      <c r="D219" s="264" t="s">
        <v>335</v>
      </c>
      <c r="E219" s="18">
        <v>50376.94</v>
      </c>
      <c r="F219" s="486"/>
      <c r="G219" s="480"/>
      <c r="H219" s="481"/>
      <c r="I219" s="254"/>
      <c r="J219" s="146"/>
      <c r="K219" s="199"/>
      <c r="L219" s="198"/>
      <c r="M219" s="87"/>
      <c r="N219" s="79"/>
      <c r="O219" s="79"/>
      <c r="P219" s="88"/>
      <c r="Q219" s="199"/>
      <c r="R219" s="275"/>
    </row>
    <row r="220" spans="1:18" s="89" customFormat="1" x14ac:dyDescent="0.2">
      <c r="A220" s="275"/>
      <c r="B220" s="200"/>
      <c r="C220" s="63"/>
      <c r="D220" s="469" t="s">
        <v>84</v>
      </c>
      <c r="E220" s="493" t="s">
        <v>156</v>
      </c>
      <c r="F220" s="474">
        <f>E219</f>
        <v>50376.94</v>
      </c>
      <c r="G220" s="482">
        <v>1</v>
      </c>
      <c r="H220" s="249">
        <f>+G220*F220</f>
        <v>50376.94</v>
      </c>
      <c r="I220" s="253"/>
      <c r="J220" s="79"/>
      <c r="K220" s="201"/>
      <c r="L220" s="200"/>
      <c r="M220" s="83">
        <f>H220</f>
        <v>50376.94</v>
      </c>
      <c r="N220" s="91"/>
      <c r="O220" s="83"/>
      <c r="P220" s="31"/>
      <c r="Q220" s="201"/>
      <c r="R220" s="275"/>
    </row>
    <row r="221" spans="1:18" s="89" customFormat="1" x14ac:dyDescent="0.2">
      <c r="A221" s="275"/>
      <c r="B221" s="200"/>
      <c r="C221" s="63"/>
      <c r="D221" s="469" t="s">
        <v>77</v>
      </c>
      <c r="E221" s="493" t="s">
        <v>156</v>
      </c>
      <c r="F221" s="474">
        <f>E219</f>
        <v>50376.94</v>
      </c>
      <c r="G221" s="482">
        <v>4</v>
      </c>
      <c r="H221" s="249">
        <f>+G221*F221</f>
        <v>201507.76</v>
      </c>
      <c r="I221" s="253"/>
      <c r="J221" s="79"/>
      <c r="K221" s="201"/>
      <c r="L221" s="200"/>
      <c r="M221" s="83"/>
      <c r="N221" s="91">
        <f>H221</f>
        <v>201507.76</v>
      </c>
      <c r="O221" s="83"/>
      <c r="P221" s="31"/>
      <c r="Q221" s="201"/>
      <c r="R221" s="275"/>
    </row>
    <row r="222" spans="1:18" s="89" customFormat="1" x14ac:dyDescent="0.2">
      <c r="A222" s="275"/>
      <c r="B222" s="200"/>
      <c r="C222" s="63"/>
      <c r="D222" s="469" t="s">
        <v>158</v>
      </c>
      <c r="E222" s="247">
        <v>66</v>
      </c>
      <c r="F222" s="474">
        <f>E219/150*1.5</f>
        <v>503.76940000000002</v>
      </c>
      <c r="G222" s="482">
        <f>+F226</f>
        <v>5</v>
      </c>
      <c r="H222" s="249">
        <f>+G222*F222*E222</f>
        <v>166243.902</v>
      </c>
      <c r="I222" s="253"/>
      <c r="J222" s="79"/>
      <c r="K222" s="201"/>
      <c r="L222" s="200"/>
      <c r="M222" s="83"/>
      <c r="N222" s="91">
        <f>H222</f>
        <v>166243.902</v>
      </c>
      <c r="O222" s="83"/>
      <c r="P222" s="31"/>
      <c r="Q222" s="201"/>
      <c r="R222" s="275"/>
    </row>
    <row r="223" spans="1:18" s="89" customFormat="1" x14ac:dyDescent="0.2">
      <c r="A223" s="275"/>
      <c r="B223" s="200"/>
      <c r="C223" s="63"/>
      <c r="D223" s="469" t="s">
        <v>14</v>
      </c>
      <c r="E223" s="494" t="s">
        <v>119</v>
      </c>
      <c r="F223" s="474">
        <v>0</v>
      </c>
      <c r="G223" s="249">
        <f>$H$3</f>
        <v>80</v>
      </c>
      <c r="H223" s="249">
        <f>+G223*F223</f>
        <v>0</v>
      </c>
      <c r="I223" s="253"/>
      <c r="J223" s="79"/>
      <c r="K223" s="201"/>
      <c r="L223" s="200"/>
      <c r="M223" s="83"/>
      <c r="N223" s="91">
        <f>H223</f>
        <v>0</v>
      </c>
      <c r="O223" s="83"/>
      <c r="P223" s="31"/>
      <c r="Q223" s="201"/>
      <c r="R223" s="275"/>
    </row>
    <row r="224" spans="1:18" s="89" customFormat="1" x14ac:dyDescent="0.2">
      <c r="A224" s="275"/>
      <c r="B224" s="200"/>
      <c r="C224" s="63"/>
      <c r="D224" s="469" t="s">
        <v>16</v>
      </c>
      <c r="E224" s="494" t="s">
        <v>119</v>
      </c>
      <c r="F224" s="474">
        <v>0</v>
      </c>
      <c r="G224" s="249">
        <f>$H$4</f>
        <v>40</v>
      </c>
      <c r="H224" s="249">
        <f>+G224*F224</f>
        <v>0</v>
      </c>
      <c r="I224" s="253"/>
      <c r="J224" s="79"/>
      <c r="K224" s="201"/>
      <c r="L224" s="200"/>
      <c r="M224" s="83"/>
      <c r="N224" s="91">
        <f>H224</f>
        <v>0</v>
      </c>
      <c r="O224" s="83"/>
      <c r="P224" s="31"/>
      <c r="Q224" s="201"/>
      <c r="R224" s="275"/>
    </row>
    <row r="225" spans="1:18" s="89" customFormat="1" x14ac:dyDescent="0.2">
      <c r="A225" s="275"/>
      <c r="B225" s="200"/>
      <c r="C225" s="63"/>
      <c r="D225" s="469" t="s">
        <v>13</v>
      </c>
      <c r="E225" s="493" t="s">
        <v>60</v>
      </c>
      <c r="F225" s="474">
        <f>E219</f>
        <v>50376.94</v>
      </c>
      <c r="G225" s="249">
        <v>0</v>
      </c>
      <c r="H225" s="249">
        <f>+G225*F225</f>
        <v>0</v>
      </c>
      <c r="I225" s="253"/>
      <c r="J225" s="79"/>
      <c r="K225" s="201"/>
      <c r="L225" s="200"/>
      <c r="M225" s="83"/>
      <c r="N225" s="91"/>
      <c r="O225" s="83">
        <f>SUM(H225)</f>
        <v>0</v>
      </c>
      <c r="P225" s="31"/>
      <c r="Q225" s="201"/>
      <c r="R225" s="275"/>
    </row>
    <row r="226" spans="1:18" s="89" customFormat="1" x14ac:dyDescent="0.2">
      <c r="A226" s="275"/>
      <c r="B226" s="237"/>
      <c r="C226" s="63"/>
      <c r="D226" s="469" t="s">
        <v>157</v>
      </c>
      <c r="E226" s="494" t="s">
        <v>117</v>
      </c>
      <c r="F226" s="486">
        <f>+G220+G221+G225</f>
        <v>5</v>
      </c>
      <c r="G226" s="248" t="s">
        <v>143</v>
      </c>
      <c r="H226" s="249">
        <f>SUM(H220:H225)</f>
        <v>418128.60200000001</v>
      </c>
      <c r="I226" s="245"/>
      <c r="J226" s="79"/>
      <c r="K226" s="238"/>
      <c r="L226" s="237"/>
      <c r="M226" s="239"/>
      <c r="N226" s="240"/>
      <c r="O226" s="91"/>
      <c r="P226" s="31"/>
      <c r="Q226" s="238"/>
      <c r="R226" s="275"/>
    </row>
    <row r="227" spans="1:18" s="89" customFormat="1" x14ac:dyDescent="0.2">
      <c r="A227" s="275"/>
      <c r="B227" s="234"/>
      <c r="C227" s="63"/>
      <c r="D227" s="487" t="s">
        <v>142</v>
      </c>
      <c r="E227" s="494" t="s">
        <v>117</v>
      </c>
      <c r="F227" s="474">
        <f>+E219+F222*E222</f>
        <v>83625.720400000006</v>
      </c>
      <c r="G227" s="478"/>
      <c r="H227" s="249">
        <f>+((F227/2)*F226)/6</f>
        <v>34844.050166666668</v>
      </c>
      <c r="I227" s="250"/>
      <c r="J227" s="236"/>
      <c r="K227" s="235"/>
      <c r="L227" s="234"/>
      <c r="M227" s="83"/>
      <c r="N227" s="92"/>
      <c r="O227" s="93">
        <f>H227</f>
        <v>34844.050166666668</v>
      </c>
      <c r="P227" s="88"/>
      <c r="Q227" s="235"/>
      <c r="R227" s="275"/>
    </row>
    <row r="228" spans="1:18" s="89" customFormat="1" x14ac:dyDescent="0.2">
      <c r="A228" s="275"/>
      <c r="B228" s="234"/>
      <c r="C228" s="63"/>
      <c r="D228" s="487" t="s">
        <v>191</v>
      </c>
      <c r="E228" s="474"/>
      <c r="F228" s="474">
        <f>+E219+F222*E222</f>
        <v>83625.720400000006</v>
      </c>
      <c r="G228" s="479"/>
      <c r="H228" s="249">
        <f>+(F228/30)*((F226*30)/20)</f>
        <v>20906.430100000001</v>
      </c>
      <c r="I228" s="251">
        <v>0</v>
      </c>
      <c r="J228" s="93">
        <f>+(H226+H227+H228)*C219</f>
        <v>473879.08226666669</v>
      </c>
      <c r="K228" s="235"/>
      <c r="L228" s="234"/>
      <c r="M228" s="83"/>
      <c r="N228" s="92"/>
      <c r="O228" s="93">
        <f>H228</f>
        <v>20906.430100000001</v>
      </c>
      <c r="P228" s="88"/>
      <c r="Q228" s="235"/>
      <c r="R228" s="275"/>
    </row>
    <row r="229" spans="1:18" s="89" customFormat="1" x14ac:dyDescent="0.2">
      <c r="A229" s="275"/>
      <c r="B229" s="200"/>
      <c r="C229" s="63"/>
      <c r="D229" s="488"/>
      <c r="E229" s="466"/>
      <c r="F229" s="486"/>
      <c r="G229" s="483"/>
      <c r="H229" s="453"/>
      <c r="I229" s="253"/>
      <c r="J229" s="79"/>
      <c r="K229" s="201"/>
      <c r="L229" s="200"/>
      <c r="M229" s="87"/>
      <c r="N229" s="79"/>
      <c r="O229" s="79"/>
      <c r="P229" s="88"/>
      <c r="Q229" s="201"/>
      <c r="R229" s="275"/>
    </row>
    <row r="230" spans="1:18" s="89" customFormat="1" ht="15" customHeight="1" x14ac:dyDescent="0.2">
      <c r="A230" s="275"/>
      <c r="B230" s="198"/>
      <c r="C230" s="13">
        <v>2</v>
      </c>
      <c r="D230" s="264" t="s">
        <v>224</v>
      </c>
      <c r="E230" s="489">
        <v>43881.81</v>
      </c>
      <c r="F230" s="486"/>
      <c r="G230" s="480"/>
      <c r="H230" s="481"/>
      <c r="I230" s="254"/>
      <c r="J230" s="146"/>
      <c r="K230" s="199"/>
      <c r="L230" s="198"/>
      <c r="M230" s="87"/>
      <c r="N230" s="79"/>
      <c r="O230" s="79"/>
      <c r="P230" s="88"/>
      <c r="Q230" s="199"/>
      <c r="R230" s="275"/>
    </row>
    <row r="231" spans="1:18" s="89" customFormat="1" x14ac:dyDescent="0.2">
      <c r="A231" s="275"/>
      <c r="B231" s="200"/>
      <c r="C231" s="63"/>
      <c r="D231" s="469" t="s">
        <v>84</v>
      </c>
      <c r="E231" s="493" t="s">
        <v>156</v>
      </c>
      <c r="F231" s="474">
        <f>E230</f>
        <v>43881.81</v>
      </c>
      <c r="G231" s="482">
        <v>0</v>
      </c>
      <c r="H231" s="249">
        <f>+G231*F231</f>
        <v>0</v>
      </c>
      <c r="I231" s="253"/>
      <c r="J231" s="79"/>
      <c r="K231" s="201"/>
      <c r="L231" s="200"/>
      <c r="M231" s="83">
        <f>H231</f>
        <v>0</v>
      </c>
      <c r="N231" s="91"/>
      <c r="O231" s="83"/>
      <c r="P231" s="31"/>
      <c r="Q231" s="201"/>
      <c r="R231" s="275"/>
    </row>
    <row r="232" spans="1:18" s="89" customFormat="1" x14ac:dyDescent="0.2">
      <c r="A232" s="275"/>
      <c r="B232" s="200"/>
      <c r="C232" s="63"/>
      <c r="D232" s="75" t="s">
        <v>77</v>
      </c>
      <c r="E232" s="77" t="s">
        <v>156</v>
      </c>
      <c r="F232" s="244">
        <f>E230</f>
        <v>43881.81</v>
      </c>
      <c r="G232" s="62">
        <v>4</v>
      </c>
      <c r="H232" s="249">
        <f>+G232*F232</f>
        <v>175527.24</v>
      </c>
      <c r="I232" s="253"/>
      <c r="J232" s="79"/>
      <c r="K232" s="201"/>
      <c r="L232" s="200"/>
      <c r="M232" s="83"/>
      <c r="N232" s="91">
        <f>H232</f>
        <v>175527.24</v>
      </c>
      <c r="O232" s="83"/>
      <c r="P232" s="31"/>
      <c r="Q232" s="201"/>
      <c r="R232" s="275"/>
    </row>
    <row r="233" spans="1:18" s="89" customFormat="1" x14ac:dyDescent="0.2">
      <c r="A233" s="275"/>
      <c r="B233" s="200"/>
      <c r="C233" s="63"/>
      <c r="D233" s="75" t="s">
        <v>158</v>
      </c>
      <c r="E233" s="247">
        <v>66</v>
      </c>
      <c r="F233" s="244">
        <f>E230/150*1.5</f>
        <v>438.81809999999996</v>
      </c>
      <c r="G233" s="62">
        <f>+F237</f>
        <v>4</v>
      </c>
      <c r="H233" s="249">
        <f>+G233*F233*E233</f>
        <v>115847.97839999999</v>
      </c>
      <c r="I233" s="253"/>
      <c r="J233" s="79"/>
      <c r="K233" s="201"/>
      <c r="L233" s="200"/>
      <c r="M233" s="83"/>
      <c r="N233" s="91">
        <f>H233</f>
        <v>115847.97839999999</v>
      </c>
      <c r="O233" s="83"/>
      <c r="P233" s="31"/>
      <c r="Q233" s="201"/>
      <c r="R233" s="275"/>
    </row>
    <row r="234" spans="1:18" s="89" customFormat="1" x14ac:dyDescent="0.2">
      <c r="A234" s="275"/>
      <c r="B234" s="200"/>
      <c r="C234" s="63"/>
      <c r="D234" s="75" t="s">
        <v>14</v>
      </c>
      <c r="E234" s="10" t="s">
        <v>119</v>
      </c>
      <c r="F234" s="244">
        <v>0</v>
      </c>
      <c r="G234" s="28">
        <f>$H$3</f>
        <v>80</v>
      </c>
      <c r="H234" s="249">
        <f>+G234*F234</f>
        <v>0</v>
      </c>
      <c r="I234" s="253"/>
      <c r="J234" s="79"/>
      <c r="K234" s="201"/>
      <c r="L234" s="200"/>
      <c r="M234" s="83"/>
      <c r="N234" s="91">
        <f>H234</f>
        <v>0</v>
      </c>
      <c r="O234" s="83"/>
      <c r="P234" s="31"/>
      <c r="Q234" s="201"/>
      <c r="R234" s="275"/>
    </row>
    <row r="235" spans="1:18" s="89" customFormat="1" x14ac:dyDescent="0.2">
      <c r="A235" s="275"/>
      <c r="B235" s="200"/>
      <c r="C235" s="63"/>
      <c r="D235" s="469" t="s">
        <v>16</v>
      </c>
      <c r="E235" s="494" t="s">
        <v>119</v>
      </c>
      <c r="F235" s="474">
        <v>0</v>
      </c>
      <c r="G235" s="249">
        <f>$H$4</f>
        <v>40</v>
      </c>
      <c r="H235" s="249">
        <f>+G235*F235</f>
        <v>0</v>
      </c>
      <c r="I235" s="253"/>
      <c r="J235" s="79"/>
      <c r="K235" s="201"/>
      <c r="L235" s="200"/>
      <c r="M235" s="83"/>
      <c r="N235" s="91">
        <f>H235</f>
        <v>0</v>
      </c>
      <c r="O235" s="83"/>
      <c r="P235" s="31"/>
      <c r="Q235" s="201"/>
      <c r="R235" s="275"/>
    </row>
    <row r="236" spans="1:18" s="89" customFormat="1" x14ac:dyDescent="0.2">
      <c r="A236" s="275"/>
      <c r="B236" s="200"/>
      <c r="C236" s="63"/>
      <c r="D236" s="469" t="s">
        <v>13</v>
      </c>
      <c r="E236" s="493" t="s">
        <v>60</v>
      </c>
      <c r="F236" s="474">
        <f>E230</f>
        <v>43881.81</v>
      </c>
      <c r="G236" s="249">
        <v>0</v>
      </c>
      <c r="H236" s="249">
        <f>+G236*F236</f>
        <v>0</v>
      </c>
      <c r="I236" s="253"/>
      <c r="J236" s="79"/>
      <c r="K236" s="201"/>
      <c r="L236" s="200"/>
      <c r="M236" s="83"/>
      <c r="N236" s="91"/>
      <c r="O236" s="83">
        <f>SUM(H236)</f>
        <v>0</v>
      </c>
      <c r="P236" s="31"/>
      <c r="Q236" s="201"/>
      <c r="R236" s="275"/>
    </row>
    <row r="237" spans="1:18" s="89" customFormat="1" x14ac:dyDescent="0.2">
      <c r="A237" s="275"/>
      <c r="B237" s="237"/>
      <c r="C237" s="63"/>
      <c r="D237" s="469" t="s">
        <v>157</v>
      </c>
      <c r="E237" s="494" t="s">
        <v>117</v>
      </c>
      <c r="F237" s="486">
        <f>+G231+G232+G236</f>
        <v>4</v>
      </c>
      <c r="G237" s="248" t="s">
        <v>143</v>
      </c>
      <c r="H237" s="249">
        <f>SUM(H231:H236)</f>
        <v>291375.21840000001</v>
      </c>
      <c r="I237" s="245"/>
      <c r="J237" s="79"/>
      <c r="K237" s="238"/>
      <c r="L237" s="237"/>
      <c r="M237" s="239"/>
      <c r="N237" s="240"/>
      <c r="O237" s="91"/>
      <c r="P237" s="31"/>
      <c r="Q237" s="238"/>
      <c r="R237" s="275"/>
    </row>
    <row r="238" spans="1:18" s="89" customFormat="1" x14ac:dyDescent="0.2">
      <c r="A238" s="275"/>
      <c r="B238" s="234"/>
      <c r="C238" s="63"/>
      <c r="D238" s="487" t="s">
        <v>142</v>
      </c>
      <c r="E238" s="494" t="s">
        <v>117</v>
      </c>
      <c r="F238" s="474">
        <f>+E230+F233*E233</f>
        <v>72843.804600000003</v>
      </c>
      <c r="G238" s="478"/>
      <c r="H238" s="249">
        <f>+((F238/2)*F237)/6</f>
        <v>24281.268200000002</v>
      </c>
      <c r="I238" s="250"/>
      <c r="J238" s="236"/>
      <c r="K238" s="235"/>
      <c r="L238" s="234"/>
      <c r="M238" s="83"/>
      <c r="N238" s="92"/>
      <c r="O238" s="93">
        <f>H238</f>
        <v>24281.268200000002</v>
      </c>
      <c r="P238" s="88"/>
      <c r="Q238" s="235"/>
      <c r="R238" s="275"/>
    </row>
    <row r="239" spans="1:18" s="89" customFormat="1" x14ac:dyDescent="0.2">
      <c r="A239" s="275"/>
      <c r="B239" s="234"/>
      <c r="C239" s="63"/>
      <c r="D239" s="487" t="s">
        <v>191</v>
      </c>
      <c r="E239" s="474"/>
      <c r="F239" s="474">
        <f>+E230+F233*E233</f>
        <v>72843.804600000003</v>
      </c>
      <c r="G239" s="479"/>
      <c r="H239" s="249">
        <f>+(F239/30)*((F237*30)/20)</f>
        <v>14568.760920000001</v>
      </c>
      <c r="I239" s="251">
        <v>0</v>
      </c>
      <c r="J239" s="93">
        <f>+(H237+H238+H239)*C230</f>
        <v>660450.49503999995</v>
      </c>
      <c r="K239" s="235"/>
      <c r="L239" s="234"/>
      <c r="M239" s="83"/>
      <c r="N239" s="92"/>
      <c r="O239" s="93">
        <f>H239</f>
        <v>14568.760920000001</v>
      </c>
      <c r="P239" s="88"/>
      <c r="Q239" s="235"/>
      <c r="R239" s="275"/>
    </row>
    <row r="240" spans="1:18" s="89" customFormat="1" x14ac:dyDescent="0.2">
      <c r="A240" s="275"/>
      <c r="B240" s="200"/>
      <c r="C240" s="63"/>
      <c r="D240" s="488"/>
      <c r="E240" s="466"/>
      <c r="F240" s="486"/>
      <c r="G240" s="483"/>
      <c r="H240" s="453"/>
      <c r="I240" s="253"/>
      <c r="J240" s="79"/>
      <c r="K240" s="201"/>
      <c r="L240" s="200"/>
      <c r="M240" s="87"/>
      <c r="N240" s="79"/>
      <c r="O240" s="79"/>
      <c r="P240" s="88"/>
      <c r="Q240" s="201"/>
      <c r="R240" s="275"/>
    </row>
    <row r="241" spans="1:18" s="89" customFormat="1" ht="15" customHeight="1" x14ac:dyDescent="0.2">
      <c r="A241" s="275"/>
      <c r="B241" s="198"/>
      <c r="C241" s="13">
        <v>2</v>
      </c>
      <c r="D241" s="264" t="s">
        <v>338</v>
      </c>
      <c r="E241" s="489">
        <v>31896.03</v>
      </c>
      <c r="F241" s="486"/>
      <c r="G241" s="480"/>
      <c r="H241" s="481"/>
      <c r="I241" s="254"/>
      <c r="J241" s="146"/>
      <c r="K241" s="199"/>
      <c r="L241" s="198"/>
      <c r="M241" s="87"/>
      <c r="N241" s="79"/>
      <c r="O241" s="79"/>
      <c r="P241" s="88"/>
      <c r="Q241" s="199"/>
      <c r="R241" s="275"/>
    </row>
    <row r="242" spans="1:18" s="89" customFormat="1" x14ac:dyDescent="0.2">
      <c r="A242" s="275"/>
      <c r="B242" s="200"/>
      <c r="C242" s="63"/>
      <c r="D242" s="469" t="s">
        <v>84</v>
      </c>
      <c r="E242" s="493" t="s">
        <v>156</v>
      </c>
      <c r="F242" s="474">
        <f>E241</f>
        <v>31896.03</v>
      </c>
      <c r="G242" s="482">
        <v>0.25</v>
      </c>
      <c r="H242" s="249">
        <f>+G242*F242</f>
        <v>7974.0074999999997</v>
      </c>
      <c r="I242" s="253"/>
      <c r="J242" s="79"/>
      <c r="K242" s="201"/>
      <c r="L242" s="200"/>
      <c r="M242" s="83">
        <f>H242</f>
        <v>7974.0074999999997</v>
      </c>
      <c r="N242" s="91"/>
      <c r="O242" s="83"/>
      <c r="P242" s="31"/>
      <c r="Q242" s="201"/>
      <c r="R242" s="275"/>
    </row>
    <row r="243" spans="1:18" s="89" customFormat="1" x14ac:dyDescent="0.2">
      <c r="A243" s="275"/>
      <c r="B243" s="200"/>
      <c r="C243" s="63"/>
      <c r="D243" s="469" t="s">
        <v>77</v>
      </c>
      <c r="E243" s="493" t="s">
        <v>156</v>
      </c>
      <c r="F243" s="474">
        <f>E241</f>
        <v>31896.03</v>
      </c>
      <c r="G243" s="482">
        <v>4</v>
      </c>
      <c r="H243" s="249">
        <f>+G243*F243</f>
        <v>127584.12</v>
      </c>
      <c r="I243" s="253"/>
      <c r="J243" s="79"/>
      <c r="K243" s="201"/>
      <c r="L243" s="200"/>
      <c r="M243" s="83"/>
      <c r="N243" s="91">
        <f>H243</f>
        <v>127584.12</v>
      </c>
      <c r="O243" s="83"/>
      <c r="P243" s="31"/>
      <c r="Q243" s="201"/>
      <c r="R243" s="275"/>
    </row>
    <row r="244" spans="1:18" s="89" customFormat="1" x14ac:dyDescent="0.2">
      <c r="A244" s="275"/>
      <c r="B244" s="200"/>
      <c r="C244" s="63"/>
      <c r="D244" s="469" t="s">
        <v>158</v>
      </c>
      <c r="E244" s="247">
        <v>66</v>
      </c>
      <c r="F244" s="474">
        <f>E241/150*1.5</f>
        <v>318.96029999999996</v>
      </c>
      <c r="G244" s="482">
        <f>+F248</f>
        <v>4.25</v>
      </c>
      <c r="H244" s="249">
        <f>+G244*F244*E244</f>
        <v>89468.364149999979</v>
      </c>
      <c r="I244" s="253"/>
      <c r="J244" s="79"/>
      <c r="K244" s="201"/>
      <c r="L244" s="200"/>
      <c r="M244" s="83"/>
      <c r="N244" s="91">
        <f>H244</f>
        <v>89468.364149999979</v>
      </c>
      <c r="O244" s="83"/>
      <c r="P244" s="31"/>
      <c r="Q244" s="201"/>
      <c r="R244" s="275"/>
    </row>
    <row r="245" spans="1:18" s="89" customFormat="1" x14ac:dyDescent="0.2">
      <c r="A245" s="275"/>
      <c r="B245" s="200"/>
      <c r="C245" s="63"/>
      <c r="D245" s="469" t="s">
        <v>14</v>
      </c>
      <c r="E245" s="494" t="s">
        <v>119</v>
      </c>
      <c r="F245" s="474">
        <v>0</v>
      </c>
      <c r="G245" s="249">
        <f>$H$3</f>
        <v>80</v>
      </c>
      <c r="H245" s="249">
        <f>+G245*F245</f>
        <v>0</v>
      </c>
      <c r="I245" s="253"/>
      <c r="J245" s="79"/>
      <c r="K245" s="201"/>
      <c r="L245" s="200"/>
      <c r="M245" s="83"/>
      <c r="N245" s="91">
        <f>H245</f>
        <v>0</v>
      </c>
      <c r="O245" s="83"/>
      <c r="P245" s="31"/>
      <c r="Q245" s="201"/>
      <c r="R245" s="275"/>
    </row>
    <row r="246" spans="1:18" s="89" customFormat="1" x14ac:dyDescent="0.2">
      <c r="A246" s="275"/>
      <c r="B246" s="200"/>
      <c r="C246" s="63"/>
      <c r="D246" s="469" t="s">
        <v>16</v>
      </c>
      <c r="E246" s="494" t="s">
        <v>119</v>
      </c>
      <c r="F246" s="474">
        <v>0</v>
      </c>
      <c r="G246" s="249">
        <f>$H$4</f>
        <v>40</v>
      </c>
      <c r="H246" s="249">
        <f>+G246*F246</f>
        <v>0</v>
      </c>
      <c r="I246" s="253"/>
      <c r="J246" s="79"/>
      <c r="K246" s="201"/>
      <c r="L246" s="200"/>
      <c r="M246" s="83"/>
      <c r="N246" s="91">
        <f>H246</f>
        <v>0</v>
      </c>
      <c r="O246" s="83"/>
      <c r="P246" s="31"/>
      <c r="Q246" s="201"/>
      <c r="R246" s="275"/>
    </row>
    <row r="247" spans="1:18" s="89" customFormat="1" x14ac:dyDescent="0.2">
      <c r="A247" s="275"/>
      <c r="B247" s="200"/>
      <c r="C247" s="63"/>
      <c r="D247" s="469" t="s">
        <v>13</v>
      </c>
      <c r="E247" s="493" t="s">
        <v>60</v>
      </c>
      <c r="F247" s="474">
        <f>E241</f>
        <v>31896.03</v>
      </c>
      <c r="G247" s="249">
        <v>0</v>
      </c>
      <c r="H247" s="249">
        <f>+G247*F247</f>
        <v>0</v>
      </c>
      <c r="I247" s="253"/>
      <c r="J247" s="79"/>
      <c r="K247" s="201"/>
      <c r="L247" s="200"/>
      <c r="M247" s="83"/>
      <c r="N247" s="91"/>
      <c r="O247" s="83">
        <f>SUM(H247)</f>
        <v>0</v>
      </c>
      <c r="P247" s="31"/>
      <c r="Q247" s="201"/>
      <c r="R247" s="275"/>
    </row>
    <row r="248" spans="1:18" s="89" customFormat="1" x14ac:dyDescent="0.2">
      <c r="A248" s="275"/>
      <c r="B248" s="237"/>
      <c r="C248" s="63"/>
      <c r="D248" s="469" t="s">
        <v>157</v>
      </c>
      <c r="E248" s="494" t="s">
        <v>117</v>
      </c>
      <c r="F248" s="486">
        <f>+G242+G243+G247</f>
        <v>4.25</v>
      </c>
      <c r="G248" s="248" t="s">
        <v>143</v>
      </c>
      <c r="H248" s="249">
        <f>SUM(H242:H247)</f>
        <v>225026.49164999998</v>
      </c>
      <c r="I248" s="245"/>
      <c r="J248" s="79"/>
      <c r="K248" s="238"/>
      <c r="L248" s="237"/>
      <c r="M248" s="239"/>
      <c r="N248" s="240"/>
      <c r="O248" s="91"/>
      <c r="P248" s="31"/>
      <c r="Q248" s="238"/>
      <c r="R248" s="275"/>
    </row>
    <row r="249" spans="1:18" s="89" customFormat="1" x14ac:dyDescent="0.2">
      <c r="A249" s="275"/>
      <c r="B249" s="234"/>
      <c r="C249" s="63"/>
      <c r="D249" s="487" t="s">
        <v>142</v>
      </c>
      <c r="E249" s="494" t="s">
        <v>117</v>
      </c>
      <c r="F249" s="474">
        <f>+E241+F244*E244</f>
        <v>52947.409799999994</v>
      </c>
      <c r="G249" s="478"/>
      <c r="H249" s="249">
        <f>+((F249/2)*F248)/6</f>
        <v>18752.2076375</v>
      </c>
      <c r="I249" s="250"/>
      <c r="J249" s="236"/>
      <c r="K249" s="235"/>
      <c r="L249" s="234"/>
      <c r="M249" s="83"/>
      <c r="N249" s="92"/>
      <c r="O249" s="93">
        <f>H249</f>
        <v>18752.2076375</v>
      </c>
      <c r="P249" s="88"/>
      <c r="Q249" s="235"/>
      <c r="R249" s="275"/>
    </row>
    <row r="250" spans="1:18" s="89" customFormat="1" x14ac:dyDescent="0.2">
      <c r="A250" s="275"/>
      <c r="B250" s="234"/>
      <c r="C250" s="63"/>
      <c r="D250" s="487" t="s">
        <v>191</v>
      </c>
      <c r="E250" s="474"/>
      <c r="F250" s="474">
        <f>+E241+F244*E244</f>
        <v>52947.409799999994</v>
      </c>
      <c r="G250" s="479"/>
      <c r="H250" s="249">
        <f>+(F250/30)*((F248*30)/20)</f>
        <v>11251.324582499998</v>
      </c>
      <c r="I250" s="251">
        <v>0</v>
      </c>
      <c r="J250" s="93">
        <f>+(H248+H249+H250)*C241</f>
        <v>510060.04773999995</v>
      </c>
      <c r="K250" s="235"/>
      <c r="L250" s="234"/>
      <c r="M250" s="83"/>
      <c r="N250" s="92"/>
      <c r="O250" s="93">
        <f>H250</f>
        <v>11251.324582499998</v>
      </c>
      <c r="P250" s="88"/>
      <c r="Q250" s="235"/>
      <c r="R250" s="275"/>
    </row>
    <row r="251" spans="1:18" s="89" customFormat="1" x14ac:dyDescent="0.2">
      <c r="A251" s="275"/>
      <c r="B251" s="200"/>
      <c r="C251" s="63"/>
      <c r="D251" s="488"/>
      <c r="E251" s="466"/>
      <c r="F251" s="486"/>
      <c r="G251" s="483"/>
      <c r="H251" s="453"/>
      <c r="I251" s="253"/>
      <c r="J251" s="79"/>
      <c r="K251" s="201"/>
      <c r="L251" s="200"/>
      <c r="M251" s="87"/>
      <c r="N251" s="79"/>
      <c r="O251" s="79"/>
      <c r="P251" s="88"/>
      <c r="Q251" s="201"/>
      <c r="R251" s="275"/>
    </row>
    <row r="252" spans="1:18" s="89" customFormat="1" ht="15" customHeight="1" x14ac:dyDescent="0.2">
      <c r="A252" s="275"/>
      <c r="B252" s="198"/>
      <c r="C252" s="13">
        <v>1</v>
      </c>
      <c r="D252" s="395" t="s">
        <v>339</v>
      </c>
      <c r="E252" s="489">
        <v>31896.05</v>
      </c>
      <c r="F252" s="241"/>
      <c r="G252" s="34"/>
      <c r="H252" s="242"/>
      <c r="I252" s="254"/>
      <c r="J252" s="146"/>
      <c r="K252" s="199"/>
      <c r="L252" s="198"/>
      <c r="M252" s="87"/>
      <c r="N252" s="79"/>
      <c r="O252" s="79"/>
      <c r="P252" s="88"/>
      <c r="Q252" s="199"/>
      <c r="R252" s="275"/>
    </row>
    <row r="253" spans="1:18" s="89" customFormat="1" x14ac:dyDescent="0.2">
      <c r="A253" s="275"/>
      <c r="B253" s="200"/>
      <c r="C253" s="63"/>
      <c r="D253" s="75" t="s">
        <v>84</v>
      </c>
      <c r="E253" s="77" t="s">
        <v>156</v>
      </c>
      <c r="F253" s="244">
        <f>E252</f>
        <v>31896.05</v>
      </c>
      <c r="G253" s="62">
        <v>0</v>
      </c>
      <c r="H253" s="249">
        <f>+G253*F253</f>
        <v>0</v>
      </c>
      <c r="I253" s="253"/>
      <c r="J253" s="79"/>
      <c r="K253" s="201"/>
      <c r="L253" s="200"/>
      <c r="M253" s="83">
        <f>H253</f>
        <v>0</v>
      </c>
      <c r="N253" s="91"/>
      <c r="O253" s="83"/>
      <c r="P253" s="31"/>
      <c r="Q253" s="201"/>
      <c r="R253" s="275"/>
    </row>
    <row r="254" spans="1:18" s="89" customFormat="1" x14ac:dyDescent="0.2">
      <c r="A254" s="275"/>
      <c r="B254" s="200"/>
      <c r="C254" s="63"/>
      <c r="D254" s="75" t="s">
        <v>77</v>
      </c>
      <c r="E254" s="77" t="s">
        <v>156</v>
      </c>
      <c r="F254" s="244">
        <f>E252</f>
        <v>31896.05</v>
      </c>
      <c r="G254" s="62">
        <v>4</v>
      </c>
      <c r="H254" s="249">
        <f>+G254*F254</f>
        <v>127584.2</v>
      </c>
      <c r="I254" s="253"/>
      <c r="J254" s="79"/>
      <c r="K254" s="201"/>
      <c r="L254" s="200"/>
      <c r="M254" s="83"/>
      <c r="N254" s="91">
        <f>H254</f>
        <v>127584.2</v>
      </c>
      <c r="O254" s="83"/>
      <c r="P254" s="31"/>
      <c r="Q254" s="201"/>
      <c r="R254" s="275"/>
    </row>
    <row r="255" spans="1:18" s="89" customFormat="1" x14ac:dyDescent="0.2">
      <c r="A255" s="275"/>
      <c r="B255" s="200"/>
      <c r="C255" s="63"/>
      <c r="D255" s="75" t="s">
        <v>158</v>
      </c>
      <c r="E255" s="247">
        <v>66</v>
      </c>
      <c r="F255" s="244">
        <f>E252/150*1.5</f>
        <v>318.96050000000002</v>
      </c>
      <c r="G255" s="62">
        <f>+F259</f>
        <v>4</v>
      </c>
      <c r="H255" s="249">
        <f>+G255*F255*E255</f>
        <v>84205.572</v>
      </c>
      <c r="I255" s="253"/>
      <c r="J255" s="79"/>
      <c r="K255" s="201"/>
      <c r="L255" s="200"/>
      <c r="M255" s="83"/>
      <c r="N255" s="91">
        <f>H255</f>
        <v>84205.572</v>
      </c>
      <c r="O255" s="83"/>
      <c r="P255" s="31"/>
      <c r="Q255" s="201"/>
      <c r="R255" s="275"/>
    </row>
    <row r="256" spans="1:18" s="89" customFormat="1" x14ac:dyDescent="0.2">
      <c r="A256" s="275"/>
      <c r="B256" s="200"/>
      <c r="C256" s="63"/>
      <c r="D256" s="75" t="s">
        <v>14</v>
      </c>
      <c r="E256" s="10" t="s">
        <v>119</v>
      </c>
      <c r="F256" s="244">
        <v>0</v>
      </c>
      <c r="G256" s="28">
        <f>$H$3</f>
        <v>80</v>
      </c>
      <c r="H256" s="249">
        <f>+G256*F256</f>
        <v>0</v>
      </c>
      <c r="I256" s="253"/>
      <c r="J256" s="79"/>
      <c r="K256" s="201"/>
      <c r="L256" s="200"/>
      <c r="M256" s="83"/>
      <c r="N256" s="91">
        <f>H256</f>
        <v>0</v>
      </c>
      <c r="O256" s="83"/>
      <c r="P256" s="31"/>
      <c r="Q256" s="201"/>
      <c r="R256" s="275"/>
    </row>
    <row r="257" spans="1:18" s="89" customFormat="1" x14ac:dyDescent="0.2">
      <c r="A257" s="275"/>
      <c r="B257" s="200"/>
      <c r="C257" s="63"/>
      <c r="D257" s="469" t="s">
        <v>16</v>
      </c>
      <c r="E257" s="494" t="s">
        <v>119</v>
      </c>
      <c r="F257" s="474">
        <v>0</v>
      </c>
      <c r="G257" s="249">
        <f>$H$4</f>
        <v>40</v>
      </c>
      <c r="H257" s="249">
        <f>+G257*F257</f>
        <v>0</v>
      </c>
      <c r="I257" s="253"/>
      <c r="J257" s="79"/>
      <c r="K257" s="201"/>
      <c r="L257" s="200"/>
      <c r="M257" s="83"/>
      <c r="N257" s="91">
        <f>H257</f>
        <v>0</v>
      </c>
      <c r="O257" s="83"/>
      <c r="P257" s="31"/>
      <c r="Q257" s="201"/>
      <c r="R257" s="275"/>
    </row>
    <row r="258" spans="1:18" s="89" customFormat="1" x14ac:dyDescent="0.2">
      <c r="A258" s="275"/>
      <c r="B258" s="200"/>
      <c r="C258" s="63"/>
      <c r="D258" s="469" t="s">
        <v>13</v>
      </c>
      <c r="E258" s="493" t="s">
        <v>60</v>
      </c>
      <c r="F258" s="474">
        <f>E252</f>
        <v>31896.05</v>
      </c>
      <c r="G258" s="249">
        <v>0</v>
      </c>
      <c r="H258" s="249">
        <f>+G258*F258</f>
        <v>0</v>
      </c>
      <c r="I258" s="253"/>
      <c r="J258" s="79"/>
      <c r="K258" s="201"/>
      <c r="L258" s="200"/>
      <c r="M258" s="83"/>
      <c r="N258" s="91"/>
      <c r="O258" s="83">
        <f>SUM(H258)</f>
        <v>0</v>
      </c>
      <c r="P258" s="31"/>
      <c r="Q258" s="201"/>
      <c r="R258" s="275"/>
    </row>
    <row r="259" spans="1:18" s="89" customFormat="1" x14ac:dyDescent="0.2">
      <c r="A259" s="275"/>
      <c r="B259" s="237"/>
      <c r="C259" s="63"/>
      <c r="D259" s="469" t="s">
        <v>157</v>
      </c>
      <c r="E259" s="494" t="s">
        <v>117</v>
      </c>
      <c r="F259" s="486">
        <f>+G253+G254+G258</f>
        <v>4</v>
      </c>
      <c r="G259" s="248" t="s">
        <v>143</v>
      </c>
      <c r="H259" s="249">
        <f>SUM(H253:H258)</f>
        <v>211789.772</v>
      </c>
      <c r="I259" s="245"/>
      <c r="J259" s="79"/>
      <c r="K259" s="238"/>
      <c r="L259" s="237"/>
      <c r="M259" s="239"/>
      <c r="N259" s="240"/>
      <c r="O259" s="91"/>
      <c r="P259" s="31"/>
      <c r="Q259" s="238"/>
      <c r="R259" s="275"/>
    </row>
    <row r="260" spans="1:18" s="89" customFormat="1" x14ac:dyDescent="0.2">
      <c r="A260" s="275"/>
      <c r="B260" s="234"/>
      <c r="C260" s="63"/>
      <c r="D260" s="487" t="s">
        <v>142</v>
      </c>
      <c r="E260" s="494" t="s">
        <v>117</v>
      </c>
      <c r="F260" s="474">
        <f>+E252+F255*E255</f>
        <v>52947.442999999999</v>
      </c>
      <c r="G260" s="478"/>
      <c r="H260" s="249">
        <f>+((F260/2)*F259)/6</f>
        <v>17649.147666666668</v>
      </c>
      <c r="I260" s="250"/>
      <c r="J260" s="236"/>
      <c r="K260" s="235"/>
      <c r="L260" s="234"/>
      <c r="M260" s="83"/>
      <c r="N260" s="92"/>
      <c r="O260" s="93">
        <f>H260</f>
        <v>17649.147666666668</v>
      </c>
      <c r="P260" s="88"/>
      <c r="Q260" s="235"/>
      <c r="R260" s="275"/>
    </row>
    <row r="261" spans="1:18" s="89" customFormat="1" x14ac:dyDescent="0.2">
      <c r="A261" s="275"/>
      <c r="B261" s="234"/>
      <c r="C261" s="63"/>
      <c r="D261" s="487" t="s">
        <v>191</v>
      </c>
      <c r="E261" s="474"/>
      <c r="F261" s="474">
        <f>+E252+F255*E255</f>
        <v>52947.442999999999</v>
      </c>
      <c r="G261" s="479"/>
      <c r="H261" s="249">
        <f>+(F261/30)*((F259*30)/20)</f>
        <v>10589.488599999999</v>
      </c>
      <c r="I261" s="251">
        <v>0</v>
      </c>
      <c r="J261" s="93">
        <f>+(H259+H260+H261)*C252</f>
        <v>240028.40826666667</v>
      </c>
      <c r="K261" s="235"/>
      <c r="L261" s="234"/>
      <c r="M261" s="83"/>
      <c r="N261" s="92"/>
      <c r="O261" s="93">
        <f>H261</f>
        <v>10589.488599999999</v>
      </c>
      <c r="P261" s="88"/>
      <c r="Q261" s="235"/>
      <c r="R261" s="275"/>
    </row>
    <row r="262" spans="1:18" s="89" customFormat="1" x14ac:dyDescent="0.2">
      <c r="A262" s="275"/>
      <c r="B262" s="200"/>
      <c r="C262" s="63"/>
      <c r="D262" s="488"/>
      <c r="E262" s="492"/>
      <c r="F262" s="486"/>
      <c r="G262" s="483"/>
      <c r="H262" s="453"/>
      <c r="I262" s="253"/>
      <c r="J262" s="79"/>
      <c r="K262" s="201"/>
      <c r="L262" s="200"/>
      <c r="M262" s="87"/>
      <c r="N262" s="79"/>
      <c r="O262" s="79"/>
      <c r="P262" s="88"/>
      <c r="Q262" s="201"/>
      <c r="R262" s="275"/>
    </row>
    <row r="263" spans="1:18" s="89" customFormat="1" ht="15" customHeight="1" x14ac:dyDescent="0.2">
      <c r="A263" s="275"/>
      <c r="B263" s="198"/>
      <c r="C263" s="13">
        <v>1</v>
      </c>
      <c r="D263" s="264" t="s">
        <v>167</v>
      </c>
      <c r="E263" s="489">
        <v>31896.05</v>
      </c>
      <c r="F263" s="486"/>
      <c r="G263" s="480"/>
      <c r="H263" s="481"/>
      <c r="I263" s="254"/>
      <c r="J263" s="146"/>
      <c r="K263" s="199"/>
      <c r="L263" s="198"/>
      <c r="M263" s="87"/>
      <c r="N263" s="79"/>
      <c r="O263" s="79"/>
      <c r="P263" s="88"/>
      <c r="Q263" s="199"/>
      <c r="R263" s="275"/>
    </row>
    <row r="264" spans="1:18" s="89" customFormat="1" x14ac:dyDescent="0.2">
      <c r="A264" s="275"/>
      <c r="B264" s="200"/>
      <c r="C264" s="63"/>
      <c r="D264" s="469" t="s">
        <v>84</v>
      </c>
      <c r="E264" s="493" t="s">
        <v>156</v>
      </c>
      <c r="F264" s="474">
        <f>E263</f>
        <v>31896.05</v>
      </c>
      <c r="G264" s="482">
        <v>0</v>
      </c>
      <c r="H264" s="249">
        <f>+G264*F264</f>
        <v>0</v>
      </c>
      <c r="I264" s="253"/>
      <c r="J264" s="79"/>
      <c r="K264" s="201"/>
      <c r="L264" s="200"/>
      <c r="M264" s="83">
        <f>H264</f>
        <v>0</v>
      </c>
      <c r="N264" s="91"/>
      <c r="O264" s="83"/>
      <c r="P264" s="31"/>
      <c r="Q264" s="201"/>
      <c r="R264" s="275"/>
    </row>
    <row r="265" spans="1:18" s="89" customFormat="1" x14ac:dyDescent="0.2">
      <c r="A265" s="275"/>
      <c r="B265" s="200"/>
      <c r="C265" s="63"/>
      <c r="D265" s="469" t="s">
        <v>77</v>
      </c>
      <c r="E265" s="493" t="s">
        <v>156</v>
      </c>
      <c r="F265" s="474">
        <f>E263</f>
        <v>31896.05</v>
      </c>
      <c r="G265" s="482">
        <v>4</v>
      </c>
      <c r="H265" s="249">
        <f>+G265*F265</f>
        <v>127584.2</v>
      </c>
      <c r="I265" s="253"/>
      <c r="J265" s="79"/>
      <c r="K265" s="201"/>
      <c r="L265" s="200"/>
      <c r="M265" s="83"/>
      <c r="N265" s="91">
        <f>H265</f>
        <v>127584.2</v>
      </c>
      <c r="O265" s="83"/>
      <c r="P265" s="31"/>
      <c r="Q265" s="201"/>
      <c r="R265" s="275"/>
    </row>
    <row r="266" spans="1:18" s="89" customFormat="1" x14ac:dyDescent="0.2">
      <c r="A266" s="275"/>
      <c r="B266" s="200"/>
      <c r="C266" s="63"/>
      <c r="D266" s="469" t="s">
        <v>158</v>
      </c>
      <c r="E266" s="247">
        <v>66</v>
      </c>
      <c r="F266" s="474">
        <f>E263/150*1.5</f>
        <v>318.96050000000002</v>
      </c>
      <c r="G266" s="482">
        <f>+F270</f>
        <v>4</v>
      </c>
      <c r="H266" s="249">
        <f>+G266*F266*E266</f>
        <v>84205.572</v>
      </c>
      <c r="I266" s="253"/>
      <c r="J266" s="79"/>
      <c r="K266" s="201"/>
      <c r="L266" s="200"/>
      <c r="M266" s="83"/>
      <c r="N266" s="91">
        <f>H266</f>
        <v>84205.572</v>
      </c>
      <c r="O266" s="83"/>
      <c r="P266" s="31"/>
      <c r="Q266" s="201"/>
      <c r="R266" s="275"/>
    </row>
    <row r="267" spans="1:18" s="89" customFormat="1" x14ac:dyDescent="0.2">
      <c r="A267" s="275"/>
      <c r="B267" s="200"/>
      <c r="C267" s="63"/>
      <c r="D267" s="469" t="s">
        <v>14</v>
      </c>
      <c r="E267" s="494" t="s">
        <v>119</v>
      </c>
      <c r="F267" s="474">
        <v>0</v>
      </c>
      <c r="G267" s="249">
        <f>$H$3</f>
        <v>80</v>
      </c>
      <c r="H267" s="249">
        <f>+G267*F267</f>
        <v>0</v>
      </c>
      <c r="I267" s="253"/>
      <c r="J267" s="79"/>
      <c r="K267" s="201"/>
      <c r="L267" s="200"/>
      <c r="M267" s="83"/>
      <c r="N267" s="91">
        <f>H267</f>
        <v>0</v>
      </c>
      <c r="O267" s="83"/>
      <c r="P267" s="31"/>
      <c r="Q267" s="201"/>
      <c r="R267" s="275"/>
    </row>
    <row r="268" spans="1:18" s="89" customFormat="1" x14ac:dyDescent="0.2">
      <c r="A268" s="275"/>
      <c r="B268" s="200"/>
      <c r="C268" s="63"/>
      <c r="D268" s="469" t="s">
        <v>16</v>
      </c>
      <c r="E268" s="494" t="s">
        <v>119</v>
      </c>
      <c r="F268" s="474">
        <v>0</v>
      </c>
      <c r="G268" s="249">
        <f>$H$4</f>
        <v>40</v>
      </c>
      <c r="H268" s="249">
        <f>+G268*F268</f>
        <v>0</v>
      </c>
      <c r="I268" s="253"/>
      <c r="J268" s="79"/>
      <c r="K268" s="201"/>
      <c r="L268" s="200"/>
      <c r="M268" s="83"/>
      <c r="N268" s="91">
        <f>H268</f>
        <v>0</v>
      </c>
      <c r="O268" s="83"/>
      <c r="P268" s="31"/>
      <c r="Q268" s="201"/>
      <c r="R268" s="275"/>
    </row>
    <row r="269" spans="1:18" s="89" customFormat="1" x14ac:dyDescent="0.2">
      <c r="A269" s="275"/>
      <c r="B269" s="200"/>
      <c r="C269" s="63"/>
      <c r="D269" s="469" t="s">
        <v>13</v>
      </c>
      <c r="E269" s="493" t="s">
        <v>60</v>
      </c>
      <c r="F269" s="474">
        <f>E263</f>
        <v>31896.05</v>
      </c>
      <c r="G269" s="249">
        <v>0</v>
      </c>
      <c r="H269" s="249">
        <f>+G269*F269</f>
        <v>0</v>
      </c>
      <c r="I269" s="253"/>
      <c r="J269" s="79"/>
      <c r="K269" s="201"/>
      <c r="L269" s="200"/>
      <c r="M269" s="83"/>
      <c r="N269" s="91"/>
      <c r="O269" s="83">
        <f>SUM(H269)</f>
        <v>0</v>
      </c>
      <c r="P269" s="31"/>
      <c r="Q269" s="201"/>
      <c r="R269" s="275"/>
    </row>
    <row r="270" spans="1:18" s="89" customFormat="1" x14ac:dyDescent="0.2">
      <c r="A270" s="275"/>
      <c r="B270" s="237"/>
      <c r="C270" s="63"/>
      <c r="D270" s="469" t="s">
        <v>157</v>
      </c>
      <c r="E270" s="494" t="s">
        <v>117</v>
      </c>
      <c r="F270" s="486">
        <f>+G264+G265+G269</f>
        <v>4</v>
      </c>
      <c r="G270" s="248" t="s">
        <v>143</v>
      </c>
      <c r="H270" s="249">
        <f>SUM(H264:H269)</f>
        <v>211789.772</v>
      </c>
      <c r="I270" s="245"/>
      <c r="J270" s="79"/>
      <c r="K270" s="238"/>
      <c r="L270" s="237"/>
      <c r="M270" s="239"/>
      <c r="N270" s="240"/>
      <c r="O270" s="91"/>
      <c r="P270" s="31"/>
      <c r="Q270" s="238"/>
      <c r="R270" s="275"/>
    </row>
    <row r="271" spans="1:18" s="89" customFormat="1" x14ac:dyDescent="0.2">
      <c r="A271" s="275"/>
      <c r="B271" s="234"/>
      <c r="C271" s="63"/>
      <c r="D271" s="487" t="s">
        <v>142</v>
      </c>
      <c r="E271" s="494" t="s">
        <v>117</v>
      </c>
      <c r="F271" s="474">
        <f>+E263+F266*E266</f>
        <v>52947.442999999999</v>
      </c>
      <c r="G271" s="478"/>
      <c r="H271" s="249">
        <f>+((F271/2)*F270)/6</f>
        <v>17649.147666666668</v>
      </c>
      <c r="I271" s="250"/>
      <c r="J271" s="236"/>
      <c r="K271" s="235"/>
      <c r="L271" s="234"/>
      <c r="M271" s="83"/>
      <c r="N271" s="92"/>
      <c r="O271" s="93">
        <f>H271</f>
        <v>17649.147666666668</v>
      </c>
      <c r="P271" s="88"/>
      <c r="Q271" s="235"/>
      <c r="R271" s="275"/>
    </row>
    <row r="272" spans="1:18" s="89" customFormat="1" x14ac:dyDescent="0.2">
      <c r="A272" s="275"/>
      <c r="B272" s="234"/>
      <c r="C272" s="63"/>
      <c r="D272" s="487" t="s">
        <v>191</v>
      </c>
      <c r="E272" s="474"/>
      <c r="F272" s="474">
        <f>+E263+F266*E266</f>
        <v>52947.442999999999</v>
      </c>
      <c r="G272" s="479"/>
      <c r="H272" s="249">
        <f>+(F272/30)*((F270*30)/20)</f>
        <v>10589.488599999999</v>
      </c>
      <c r="I272" s="251">
        <v>0</v>
      </c>
      <c r="J272" s="93">
        <f>+(H270+H271+H272)*C263</f>
        <v>240028.40826666667</v>
      </c>
      <c r="K272" s="235"/>
      <c r="L272" s="234"/>
      <c r="M272" s="83"/>
      <c r="N272" s="92"/>
      <c r="O272" s="93">
        <f>H272</f>
        <v>10589.488599999999</v>
      </c>
      <c r="P272" s="88"/>
      <c r="Q272" s="235"/>
      <c r="R272" s="275"/>
    </row>
    <row r="273" spans="1:18" s="89" customFormat="1" x14ac:dyDescent="0.2">
      <c r="A273" s="275"/>
      <c r="B273" s="200"/>
      <c r="C273" s="63"/>
      <c r="D273" s="488"/>
      <c r="E273" s="492"/>
      <c r="F273" s="486"/>
      <c r="G273" s="483"/>
      <c r="H273" s="453"/>
      <c r="I273" s="253"/>
      <c r="J273" s="79"/>
      <c r="K273" s="201"/>
      <c r="L273" s="200"/>
      <c r="M273" s="87"/>
      <c r="N273" s="79"/>
      <c r="O273" s="79"/>
      <c r="P273" s="88"/>
      <c r="Q273" s="201"/>
      <c r="R273" s="275"/>
    </row>
    <row r="274" spans="1:18" s="89" customFormat="1" ht="15" customHeight="1" x14ac:dyDescent="0.2">
      <c r="A274" s="275"/>
      <c r="B274" s="198"/>
      <c r="C274" s="13">
        <v>1</v>
      </c>
      <c r="D274" s="264" t="s">
        <v>168</v>
      </c>
      <c r="E274" s="489">
        <v>37371.11</v>
      </c>
      <c r="F274" s="486"/>
      <c r="G274" s="480"/>
      <c r="H274" s="481"/>
      <c r="I274" s="254"/>
      <c r="J274" s="146"/>
      <c r="K274" s="199"/>
      <c r="L274" s="198"/>
      <c r="M274" s="87"/>
      <c r="N274" s="79"/>
      <c r="O274" s="79"/>
      <c r="P274" s="88"/>
      <c r="Q274" s="199"/>
      <c r="R274" s="275"/>
    </row>
    <row r="275" spans="1:18" s="89" customFormat="1" x14ac:dyDescent="0.2">
      <c r="A275" s="275"/>
      <c r="B275" s="200"/>
      <c r="C275" s="63"/>
      <c r="D275" s="469" t="s">
        <v>84</v>
      </c>
      <c r="E275" s="490" t="s">
        <v>160</v>
      </c>
      <c r="F275" s="474">
        <f>E274</f>
        <v>37371.11</v>
      </c>
      <c r="G275" s="482">
        <v>1</v>
      </c>
      <c r="H275" s="249">
        <f>+G275*F275</f>
        <v>37371.11</v>
      </c>
      <c r="I275" s="253"/>
      <c r="J275" s="79"/>
      <c r="K275" s="201"/>
      <c r="L275" s="200"/>
      <c r="M275" s="83">
        <f>H275</f>
        <v>37371.11</v>
      </c>
      <c r="N275" s="91"/>
      <c r="O275" s="83"/>
      <c r="P275" s="31"/>
      <c r="Q275" s="201"/>
      <c r="R275" s="275"/>
    </row>
    <row r="276" spans="1:18" s="89" customFormat="1" x14ac:dyDescent="0.2">
      <c r="A276" s="275"/>
      <c r="B276" s="200"/>
      <c r="C276" s="63"/>
      <c r="D276" s="469" t="s">
        <v>77</v>
      </c>
      <c r="E276" s="485" t="s">
        <v>160</v>
      </c>
      <c r="F276" s="474">
        <f>E274</f>
        <v>37371.11</v>
      </c>
      <c r="G276" s="482">
        <v>4</v>
      </c>
      <c r="H276" s="249">
        <f>+G276*F276</f>
        <v>149484.44</v>
      </c>
      <c r="I276" s="253"/>
      <c r="J276" s="79"/>
      <c r="K276" s="201"/>
      <c r="L276" s="200"/>
      <c r="M276" s="83"/>
      <c r="N276" s="91">
        <f>H276</f>
        <v>149484.44</v>
      </c>
      <c r="O276" s="83"/>
      <c r="P276" s="31"/>
      <c r="Q276" s="201"/>
      <c r="R276" s="275"/>
    </row>
    <row r="277" spans="1:18" s="89" customFormat="1" x14ac:dyDescent="0.2">
      <c r="A277" s="275"/>
      <c r="B277" s="200"/>
      <c r="C277" s="63"/>
      <c r="D277" s="75" t="s">
        <v>158</v>
      </c>
      <c r="E277" s="247">
        <v>66</v>
      </c>
      <c r="F277" s="244">
        <f>E274/150*1.5</f>
        <v>373.71109999999999</v>
      </c>
      <c r="G277" s="62">
        <f>+F281</f>
        <v>5</v>
      </c>
      <c r="H277" s="249">
        <f>+G277*F277*E277</f>
        <v>123324.663</v>
      </c>
      <c r="I277" s="253"/>
      <c r="J277" s="79"/>
      <c r="K277" s="201"/>
      <c r="L277" s="200"/>
      <c r="M277" s="83"/>
      <c r="N277" s="91">
        <f>H277</f>
        <v>123324.663</v>
      </c>
      <c r="O277" s="83"/>
      <c r="P277" s="31"/>
      <c r="Q277" s="201"/>
      <c r="R277" s="275"/>
    </row>
    <row r="278" spans="1:18" s="89" customFormat="1" x14ac:dyDescent="0.2">
      <c r="A278" s="275"/>
      <c r="B278" s="200"/>
      <c r="C278" s="63"/>
      <c r="D278" s="75" t="s">
        <v>14</v>
      </c>
      <c r="E278" s="339" t="s">
        <v>119</v>
      </c>
      <c r="F278" s="244">
        <v>0</v>
      </c>
      <c r="G278" s="28">
        <f>$H$3</f>
        <v>80</v>
      </c>
      <c r="H278" s="249">
        <f>+G278*F278</f>
        <v>0</v>
      </c>
      <c r="I278" s="253"/>
      <c r="J278" s="79"/>
      <c r="K278" s="201"/>
      <c r="L278" s="200"/>
      <c r="M278" s="83"/>
      <c r="N278" s="91">
        <f>H278</f>
        <v>0</v>
      </c>
      <c r="O278" s="83"/>
      <c r="P278" s="31"/>
      <c r="Q278" s="201"/>
      <c r="R278" s="275"/>
    </row>
    <row r="279" spans="1:18" s="89" customFormat="1" x14ac:dyDescent="0.2">
      <c r="A279" s="275"/>
      <c r="B279" s="200"/>
      <c r="C279" s="63"/>
      <c r="D279" s="469" t="s">
        <v>16</v>
      </c>
      <c r="E279" s="484" t="s">
        <v>119</v>
      </c>
      <c r="F279" s="474">
        <v>0</v>
      </c>
      <c r="G279" s="249">
        <f>$H$4</f>
        <v>40</v>
      </c>
      <c r="H279" s="249">
        <f>+G279*F279</f>
        <v>0</v>
      </c>
      <c r="I279" s="253"/>
      <c r="J279" s="79"/>
      <c r="K279" s="201"/>
      <c r="L279" s="200"/>
      <c r="M279" s="83"/>
      <c r="N279" s="91">
        <f>H279</f>
        <v>0</v>
      </c>
      <c r="O279" s="83"/>
      <c r="P279" s="31"/>
      <c r="Q279" s="201"/>
      <c r="R279" s="275"/>
    </row>
    <row r="280" spans="1:18" s="89" customFormat="1" x14ac:dyDescent="0.2">
      <c r="A280" s="275"/>
      <c r="B280" s="200"/>
      <c r="C280" s="63"/>
      <c r="D280" s="469" t="s">
        <v>13</v>
      </c>
      <c r="E280" s="485" t="s">
        <v>161</v>
      </c>
      <c r="F280" s="474">
        <f>E274</f>
        <v>37371.11</v>
      </c>
      <c r="G280" s="249">
        <v>0</v>
      </c>
      <c r="H280" s="249">
        <f>+G280*F280</f>
        <v>0</v>
      </c>
      <c r="I280" s="253"/>
      <c r="J280" s="79"/>
      <c r="K280" s="201"/>
      <c r="L280" s="200"/>
      <c r="M280" s="83"/>
      <c r="N280" s="91"/>
      <c r="O280" s="83">
        <f>SUM(H280)</f>
        <v>0</v>
      </c>
      <c r="P280" s="31"/>
      <c r="Q280" s="201"/>
      <c r="R280" s="275"/>
    </row>
    <row r="281" spans="1:18" s="89" customFormat="1" x14ac:dyDescent="0.2">
      <c r="A281" s="275"/>
      <c r="B281" s="237"/>
      <c r="C281" s="63"/>
      <c r="D281" s="469" t="s">
        <v>157</v>
      </c>
      <c r="E281" s="484" t="s">
        <v>117</v>
      </c>
      <c r="F281" s="486">
        <f>+G275+G276+G280</f>
        <v>5</v>
      </c>
      <c r="G281" s="248" t="s">
        <v>143</v>
      </c>
      <c r="H281" s="249">
        <f>SUM(H275:H280)</f>
        <v>310180.21299999999</v>
      </c>
      <c r="I281" s="245"/>
      <c r="J281" s="79"/>
      <c r="K281" s="238"/>
      <c r="L281" s="237"/>
      <c r="M281" s="239"/>
      <c r="N281" s="240"/>
      <c r="O281" s="91"/>
      <c r="P281" s="31"/>
      <c r="Q281" s="238"/>
      <c r="R281" s="275"/>
    </row>
    <row r="282" spans="1:18" s="89" customFormat="1" x14ac:dyDescent="0.2">
      <c r="A282" s="275"/>
      <c r="B282" s="234"/>
      <c r="C282" s="63"/>
      <c r="D282" s="487" t="s">
        <v>142</v>
      </c>
      <c r="E282" s="484" t="s">
        <v>117</v>
      </c>
      <c r="F282" s="474">
        <f>+E274+F277*E277</f>
        <v>62036.042600000001</v>
      </c>
      <c r="G282" s="478"/>
      <c r="H282" s="249">
        <f>+((F282/2)*F281)/6</f>
        <v>25848.351083333331</v>
      </c>
      <c r="I282" s="250"/>
      <c r="J282" s="236"/>
      <c r="K282" s="235"/>
      <c r="L282" s="234"/>
      <c r="M282" s="83"/>
      <c r="N282" s="92"/>
      <c r="O282" s="93">
        <f>H282</f>
        <v>25848.351083333331</v>
      </c>
      <c r="P282" s="88"/>
      <c r="Q282" s="235"/>
      <c r="R282" s="275"/>
    </row>
    <row r="283" spans="1:18" s="89" customFormat="1" x14ac:dyDescent="0.2">
      <c r="A283" s="275"/>
      <c r="B283" s="234"/>
      <c r="C283" s="63"/>
      <c r="D283" s="487" t="s">
        <v>191</v>
      </c>
      <c r="E283" s="474"/>
      <c r="F283" s="474">
        <f>+E274+F277*E277</f>
        <v>62036.042600000001</v>
      </c>
      <c r="G283" s="479"/>
      <c r="H283" s="249">
        <f>+(F283/30)*((F281*30)/20)</f>
        <v>15509.010650000002</v>
      </c>
      <c r="I283" s="251">
        <v>0</v>
      </c>
      <c r="J283" s="93">
        <f>+(H281+H282+H283)*C274</f>
        <v>351537.57473333331</v>
      </c>
      <c r="K283" s="235"/>
      <c r="L283" s="234"/>
      <c r="M283" s="83"/>
      <c r="N283" s="92"/>
      <c r="O283" s="93">
        <f>H283</f>
        <v>15509.010650000002</v>
      </c>
      <c r="P283" s="88"/>
      <c r="Q283" s="235"/>
      <c r="R283" s="275"/>
    </row>
    <row r="284" spans="1:18" s="89" customFormat="1" x14ac:dyDescent="0.2">
      <c r="A284" s="275"/>
      <c r="B284" s="200"/>
      <c r="C284" s="63"/>
      <c r="D284" s="488"/>
      <c r="E284" s="466"/>
      <c r="F284" s="486"/>
      <c r="G284" s="483"/>
      <c r="H284" s="453"/>
      <c r="I284" s="253"/>
      <c r="J284" s="79"/>
      <c r="K284" s="201"/>
      <c r="L284" s="200"/>
      <c r="M284" s="87"/>
      <c r="N284" s="79"/>
      <c r="O284" s="79"/>
      <c r="P284" s="88"/>
      <c r="Q284" s="201"/>
      <c r="R284" s="275"/>
    </row>
    <row r="285" spans="1:18" s="89" customFormat="1" ht="15" customHeight="1" x14ac:dyDescent="0.2">
      <c r="A285" s="275"/>
      <c r="B285" s="198"/>
      <c r="C285" s="13">
        <v>2</v>
      </c>
      <c r="D285" s="264" t="s">
        <v>169</v>
      </c>
      <c r="E285" s="489">
        <v>31896.05</v>
      </c>
      <c r="F285" s="474"/>
      <c r="G285" s="480"/>
      <c r="H285" s="481"/>
      <c r="I285" s="254"/>
      <c r="J285" s="146"/>
      <c r="K285" s="199"/>
      <c r="L285" s="198"/>
      <c r="M285" s="87"/>
      <c r="N285" s="79"/>
      <c r="O285" s="79"/>
      <c r="P285" s="88"/>
      <c r="Q285" s="199"/>
      <c r="R285" s="275"/>
    </row>
    <row r="286" spans="1:18" s="89" customFormat="1" x14ac:dyDescent="0.2">
      <c r="A286" s="275"/>
      <c r="B286" s="200"/>
      <c r="C286" s="63"/>
      <c r="D286" s="469" t="s">
        <v>84</v>
      </c>
      <c r="E286" s="490" t="s">
        <v>160</v>
      </c>
      <c r="F286" s="474">
        <f>E285</f>
        <v>31896.05</v>
      </c>
      <c r="G286" s="482">
        <v>0.25</v>
      </c>
      <c r="H286" s="249">
        <f>+G286*F286</f>
        <v>7974.0124999999998</v>
      </c>
      <c r="I286" s="253"/>
      <c r="J286" s="79"/>
      <c r="K286" s="201"/>
      <c r="L286" s="200"/>
      <c r="M286" s="83">
        <f>H286</f>
        <v>7974.0124999999998</v>
      </c>
      <c r="N286" s="91"/>
      <c r="O286" s="83"/>
      <c r="P286" s="31"/>
      <c r="Q286" s="201"/>
      <c r="R286" s="275"/>
    </row>
    <row r="287" spans="1:18" s="89" customFormat="1" x14ac:dyDescent="0.2">
      <c r="A287" s="275"/>
      <c r="B287" s="200"/>
      <c r="C287" s="63"/>
      <c r="D287" s="469" t="s">
        <v>77</v>
      </c>
      <c r="E287" s="485" t="s">
        <v>160</v>
      </c>
      <c r="F287" s="474">
        <f>E285</f>
        <v>31896.05</v>
      </c>
      <c r="G287" s="482">
        <v>4</v>
      </c>
      <c r="H287" s="249">
        <f>+G287*F287</f>
        <v>127584.2</v>
      </c>
      <c r="I287" s="253"/>
      <c r="J287" s="79"/>
      <c r="K287" s="201"/>
      <c r="L287" s="200"/>
      <c r="M287" s="83"/>
      <c r="N287" s="91">
        <f>H287</f>
        <v>127584.2</v>
      </c>
      <c r="O287" s="83"/>
      <c r="P287" s="31"/>
      <c r="Q287" s="201"/>
      <c r="R287" s="275"/>
    </row>
    <row r="288" spans="1:18" s="89" customFormat="1" x14ac:dyDescent="0.2">
      <c r="A288" s="275"/>
      <c r="B288" s="200"/>
      <c r="C288" s="63"/>
      <c r="D288" s="469" t="s">
        <v>158</v>
      </c>
      <c r="E288" s="247">
        <v>66</v>
      </c>
      <c r="F288" s="474">
        <f>E285/150*1.5</f>
        <v>318.96050000000002</v>
      </c>
      <c r="G288" s="482">
        <f>+F292</f>
        <v>4.25</v>
      </c>
      <c r="H288" s="249">
        <f>+G288*F288*E288</f>
        <v>89468.42025000001</v>
      </c>
      <c r="I288" s="253"/>
      <c r="J288" s="79"/>
      <c r="K288" s="201"/>
      <c r="L288" s="200"/>
      <c r="M288" s="83"/>
      <c r="N288" s="91">
        <f>H288</f>
        <v>89468.42025000001</v>
      </c>
      <c r="O288" s="83"/>
      <c r="P288" s="31"/>
      <c r="Q288" s="201"/>
      <c r="R288" s="275"/>
    </row>
    <row r="289" spans="1:18" s="89" customFormat="1" x14ac:dyDescent="0.2">
      <c r="A289" s="275"/>
      <c r="B289" s="200"/>
      <c r="C289" s="63"/>
      <c r="D289" s="469" t="s">
        <v>14</v>
      </c>
      <c r="E289" s="484" t="s">
        <v>119</v>
      </c>
      <c r="F289" s="474">
        <f>F285/5*1.5</f>
        <v>0</v>
      </c>
      <c r="G289" s="249">
        <f>$H$3</f>
        <v>80</v>
      </c>
      <c r="H289" s="249">
        <f>+G289*F289</f>
        <v>0</v>
      </c>
      <c r="I289" s="253"/>
      <c r="J289" s="79"/>
      <c r="K289" s="201"/>
      <c r="L289" s="200"/>
      <c r="M289" s="83"/>
      <c r="N289" s="91">
        <f>H289</f>
        <v>0</v>
      </c>
      <c r="O289" s="83"/>
      <c r="P289" s="31"/>
      <c r="Q289" s="201"/>
      <c r="R289" s="275"/>
    </row>
    <row r="290" spans="1:18" s="89" customFormat="1" x14ac:dyDescent="0.2">
      <c r="A290" s="275"/>
      <c r="B290" s="200"/>
      <c r="C290" s="63"/>
      <c r="D290" s="469" t="s">
        <v>16</v>
      </c>
      <c r="E290" s="484" t="s">
        <v>119</v>
      </c>
      <c r="F290" s="474">
        <f>F285/5*2</f>
        <v>0</v>
      </c>
      <c r="G290" s="249">
        <f>$H$4</f>
        <v>40</v>
      </c>
      <c r="H290" s="249">
        <f>+G290*F290</f>
        <v>0</v>
      </c>
      <c r="I290" s="253"/>
      <c r="J290" s="79"/>
      <c r="K290" s="201"/>
      <c r="L290" s="200"/>
      <c r="M290" s="83"/>
      <c r="N290" s="91">
        <f>H290</f>
        <v>0</v>
      </c>
      <c r="O290" s="83"/>
      <c r="P290" s="31"/>
      <c r="Q290" s="201"/>
      <c r="R290" s="275"/>
    </row>
    <row r="291" spans="1:18" s="89" customFormat="1" x14ac:dyDescent="0.2">
      <c r="A291" s="275"/>
      <c r="B291" s="200"/>
      <c r="C291" s="63"/>
      <c r="D291" s="469" t="s">
        <v>13</v>
      </c>
      <c r="E291" s="485" t="s">
        <v>161</v>
      </c>
      <c r="F291" s="474">
        <f>F285</f>
        <v>0</v>
      </c>
      <c r="G291" s="249">
        <v>0</v>
      </c>
      <c r="H291" s="249">
        <f>+G291*F291</f>
        <v>0</v>
      </c>
      <c r="I291" s="253"/>
      <c r="J291" s="79"/>
      <c r="K291" s="201"/>
      <c r="L291" s="200"/>
      <c r="M291" s="83"/>
      <c r="N291" s="91"/>
      <c r="O291" s="83">
        <f>SUM(H291)</f>
        <v>0</v>
      </c>
      <c r="P291" s="31"/>
      <c r="Q291" s="201"/>
      <c r="R291" s="275"/>
    </row>
    <row r="292" spans="1:18" s="89" customFormat="1" x14ac:dyDescent="0.2">
      <c r="A292" s="275"/>
      <c r="B292" s="237"/>
      <c r="C292" s="63"/>
      <c r="D292" s="469" t="s">
        <v>157</v>
      </c>
      <c r="E292" s="484" t="s">
        <v>117</v>
      </c>
      <c r="F292" s="486">
        <f>+G286+G287+G291</f>
        <v>4.25</v>
      </c>
      <c r="G292" s="248" t="s">
        <v>143</v>
      </c>
      <c r="H292" s="249">
        <f>SUM(H286:H291)</f>
        <v>225026.63274999999</v>
      </c>
      <c r="I292" s="245"/>
      <c r="J292" s="79"/>
      <c r="K292" s="238"/>
      <c r="L292" s="237"/>
      <c r="M292" s="239"/>
      <c r="N292" s="240"/>
      <c r="O292" s="91"/>
      <c r="P292" s="31"/>
      <c r="Q292" s="238"/>
      <c r="R292" s="275"/>
    </row>
    <row r="293" spans="1:18" s="89" customFormat="1" x14ac:dyDescent="0.2">
      <c r="A293" s="275"/>
      <c r="B293" s="234"/>
      <c r="C293" s="63"/>
      <c r="D293" s="487" t="s">
        <v>142</v>
      </c>
      <c r="E293" s="484" t="s">
        <v>117</v>
      </c>
      <c r="F293" s="474">
        <f>+E285+F288*E288</f>
        <v>52947.442999999999</v>
      </c>
      <c r="G293" s="478"/>
      <c r="H293" s="249">
        <f>+((F293/2)*F292)/6</f>
        <v>18752.219395833334</v>
      </c>
      <c r="I293" s="250"/>
      <c r="J293" s="236"/>
      <c r="K293" s="235"/>
      <c r="L293" s="234"/>
      <c r="M293" s="83"/>
      <c r="N293" s="92"/>
      <c r="O293" s="93">
        <f>H293</f>
        <v>18752.219395833334</v>
      </c>
      <c r="P293" s="88"/>
      <c r="Q293" s="235"/>
      <c r="R293" s="275"/>
    </row>
    <row r="294" spans="1:18" s="89" customFormat="1" x14ac:dyDescent="0.2">
      <c r="A294" s="275"/>
      <c r="B294" s="234"/>
      <c r="C294" s="63"/>
      <c r="D294" s="487" t="s">
        <v>191</v>
      </c>
      <c r="E294" s="474"/>
      <c r="F294" s="474">
        <f>+E285+F288*E288</f>
        <v>52947.442999999999</v>
      </c>
      <c r="G294" s="479"/>
      <c r="H294" s="249">
        <f>+(F294/30)*((F292*30)/20)</f>
        <v>11251.331637499999</v>
      </c>
      <c r="I294" s="251">
        <v>0</v>
      </c>
      <c r="J294" s="93">
        <f>+(H292+H293+H294)*C285</f>
        <v>510060.36756666662</v>
      </c>
      <c r="K294" s="235"/>
      <c r="L294" s="234"/>
      <c r="M294" s="83"/>
      <c r="N294" s="92"/>
      <c r="O294" s="93">
        <f>H294</f>
        <v>11251.331637499999</v>
      </c>
      <c r="P294" s="88"/>
      <c r="Q294" s="235"/>
      <c r="R294" s="275"/>
    </row>
    <row r="295" spans="1:18" s="89" customFormat="1" x14ac:dyDescent="0.2">
      <c r="A295" s="275"/>
      <c r="B295" s="200"/>
      <c r="C295" s="63"/>
      <c r="D295" s="488"/>
      <c r="E295" s="466"/>
      <c r="F295" s="486"/>
      <c r="G295" s="483"/>
      <c r="H295" s="453"/>
      <c r="I295" s="253"/>
      <c r="J295" s="79"/>
      <c r="K295" s="201"/>
      <c r="L295" s="200"/>
      <c r="M295" s="87"/>
      <c r="N295" s="79"/>
      <c r="O295" s="79"/>
      <c r="P295" s="88"/>
      <c r="Q295" s="201"/>
      <c r="R295" s="275"/>
    </row>
    <row r="296" spans="1:18" s="89" customFormat="1" ht="15" customHeight="1" x14ac:dyDescent="0.2">
      <c r="A296" s="275"/>
      <c r="B296" s="198"/>
      <c r="C296" s="13">
        <v>1</v>
      </c>
      <c r="D296" s="260" t="s">
        <v>170</v>
      </c>
      <c r="E296" s="18">
        <v>31896.05</v>
      </c>
      <c r="F296" s="241"/>
      <c r="G296" s="34"/>
      <c r="H296" s="242"/>
      <c r="I296" s="254"/>
      <c r="J296" s="146"/>
      <c r="K296" s="199"/>
      <c r="L296" s="198"/>
      <c r="M296" s="87"/>
      <c r="N296" s="79"/>
      <c r="O296" s="79"/>
      <c r="P296" s="88"/>
      <c r="Q296" s="199"/>
      <c r="R296" s="275"/>
    </row>
    <row r="297" spans="1:18" s="89" customFormat="1" x14ac:dyDescent="0.2">
      <c r="A297" s="275"/>
      <c r="B297" s="200"/>
      <c r="C297" s="63"/>
      <c r="D297" s="75" t="s">
        <v>84</v>
      </c>
      <c r="E297" s="336" t="s">
        <v>160</v>
      </c>
      <c r="F297" s="244">
        <f>E296</f>
        <v>31896.05</v>
      </c>
      <c r="G297" s="62">
        <v>0</v>
      </c>
      <c r="H297" s="249">
        <f>+G297*F297</f>
        <v>0</v>
      </c>
      <c r="I297" s="253"/>
      <c r="J297" s="79"/>
      <c r="K297" s="201"/>
      <c r="L297" s="200"/>
      <c r="M297" s="83">
        <f>H297</f>
        <v>0</v>
      </c>
      <c r="N297" s="91"/>
      <c r="O297" s="83"/>
      <c r="P297" s="88"/>
      <c r="Q297" s="201"/>
      <c r="R297" s="275"/>
    </row>
    <row r="298" spans="1:18" s="89" customFormat="1" x14ac:dyDescent="0.2">
      <c r="A298" s="275"/>
      <c r="B298" s="200"/>
      <c r="C298" s="63"/>
      <c r="D298" s="75" t="s">
        <v>77</v>
      </c>
      <c r="E298" s="337" t="s">
        <v>160</v>
      </c>
      <c r="F298" s="244">
        <f>E296</f>
        <v>31896.05</v>
      </c>
      <c r="G298" s="62">
        <v>4</v>
      </c>
      <c r="H298" s="249">
        <f>+G298*F298</f>
        <v>127584.2</v>
      </c>
      <c r="I298" s="253"/>
      <c r="J298" s="79"/>
      <c r="K298" s="201"/>
      <c r="L298" s="200"/>
      <c r="M298" s="83"/>
      <c r="N298" s="91">
        <f>H298</f>
        <v>127584.2</v>
      </c>
      <c r="O298" s="83"/>
      <c r="P298" s="31"/>
      <c r="Q298" s="201"/>
      <c r="R298" s="275"/>
    </row>
    <row r="299" spans="1:18" s="89" customFormat="1" x14ac:dyDescent="0.2">
      <c r="A299" s="275"/>
      <c r="B299" s="200"/>
      <c r="C299" s="63"/>
      <c r="D299" s="75" t="s">
        <v>158</v>
      </c>
      <c r="E299" s="247">
        <v>66</v>
      </c>
      <c r="F299" s="244">
        <f>E296/150*1.5</f>
        <v>318.96050000000002</v>
      </c>
      <c r="G299" s="62">
        <f>+F303</f>
        <v>4</v>
      </c>
      <c r="H299" s="249">
        <f>+G299*F299*E299</f>
        <v>84205.572</v>
      </c>
      <c r="I299" s="253"/>
      <c r="J299" s="79"/>
      <c r="K299" s="201"/>
      <c r="L299" s="200"/>
      <c r="M299" s="83"/>
      <c r="N299" s="91">
        <f>H299</f>
        <v>84205.572</v>
      </c>
      <c r="O299" s="83"/>
      <c r="P299" s="31"/>
      <c r="Q299" s="201"/>
      <c r="R299" s="275"/>
    </row>
    <row r="300" spans="1:18" s="89" customFormat="1" x14ac:dyDescent="0.2">
      <c r="A300" s="275"/>
      <c r="B300" s="200"/>
      <c r="C300" s="63"/>
      <c r="D300" s="75" t="s">
        <v>14</v>
      </c>
      <c r="E300" s="339" t="s">
        <v>119</v>
      </c>
      <c r="F300" s="244">
        <v>0</v>
      </c>
      <c r="G300" s="28">
        <f>$H$3</f>
        <v>80</v>
      </c>
      <c r="H300" s="249">
        <f>+G300*F300</f>
        <v>0</v>
      </c>
      <c r="I300" s="253"/>
      <c r="J300" s="79"/>
      <c r="K300" s="201"/>
      <c r="L300" s="200"/>
      <c r="M300" s="83"/>
      <c r="N300" s="91">
        <f>H300</f>
        <v>0</v>
      </c>
      <c r="O300" s="83"/>
      <c r="P300" s="31"/>
      <c r="Q300" s="201"/>
      <c r="R300" s="275"/>
    </row>
    <row r="301" spans="1:18" s="89" customFormat="1" x14ac:dyDescent="0.2">
      <c r="A301" s="275"/>
      <c r="B301" s="200"/>
      <c r="C301" s="63"/>
      <c r="D301" s="75" t="s">
        <v>16</v>
      </c>
      <c r="E301" s="339" t="s">
        <v>119</v>
      </c>
      <c r="F301" s="244">
        <v>0</v>
      </c>
      <c r="G301" s="28">
        <f>$H$4</f>
        <v>40</v>
      </c>
      <c r="H301" s="249">
        <f>+G301*F301</f>
        <v>0</v>
      </c>
      <c r="I301" s="253"/>
      <c r="J301" s="79"/>
      <c r="K301" s="201"/>
      <c r="L301" s="200"/>
      <c r="M301" s="83"/>
      <c r="N301" s="91">
        <f>H301</f>
        <v>0</v>
      </c>
      <c r="O301" s="83"/>
      <c r="P301" s="31"/>
      <c r="Q301" s="201"/>
      <c r="R301" s="275"/>
    </row>
    <row r="302" spans="1:18" s="89" customFormat="1" x14ac:dyDescent="0.2">
      <c r="A302" s="275"/>
      <c r="B302" s="200"/>
      <c r="C302" s="63"/>
      <c r="D302" s="75" t="s">
        <v>13</v>
      </c>
      <c r="E302" s="337" t="s">
        <v>161</v>
      </c>
      <c r="F302" s="244">
        <f>E296</f>
        <v>31896.05</v>
      </c>
      <c r="G302" s="28">
        <v>0</v>
      </c>
      <c r="H302" s="249">
        <f>+G302*F302</f>
        <v>0</v>
      </c>
      <c r="I302" s="253"/>
      <c r="J302" s="79"/>
      <c r="K302" s="201"/>
      <c r="L302" s="200"/>
      <c r="M302" s="83"/>
      <c r="N302" s="91"/>
      <c r="O302" s="83">
        <f>SUM(H302)</f>
        <v>0</v>
      </c>
      <c r="P302" s="31"/>
      <c r="Q302" s="201"/>
      <c r="R302" s="275"/>
    </row>
    <row r="303" spans="1:18" s="89" customFormat="1" x14ac:dyDescent="0.2">
      <c r="A303" s="275"/>
      <c r="B303" s="237"/>
      <c r="C303" s="63"/>
      <c r="D303" s="75" t="s">
        <v>157</v>
      </c>
      <c r="E303" s="484" t="s">
        <v>117</v>
      </c>
      <c r="F303" s="486">
        <f>+G297+G298+G302</f>
        <v>4</v>
      </c>
      <c r="G303" s="248" t="s">
        <v>143</v>
      </c>
      <c r="H303" s="249">
        <f>SUM(H297:H302)</f>
        <v>211789.772</v>
      </c>
      <c r="I303" s="245"/>
      <c r="J303" s="79"/>
      <c r="K303" s="238"/>
      <c r="L303" s="237"/>
      <c r="M303" s="239"/>
      <c r="N303" s="240"/>
      <c r="O303" s="91"/>
      <c r="P303" s="31"/>
      <c r="Q303" s="238"/>
      <c r="R303" s="275"/>
    </row>
    <row r="304" spans="1:18" s="89" customFormat="1" x14ac:dyDescent="0.2">
      <c r="A304" s="275"/>
      <c r="B304" s="234"/>
      <c r="C304" s="63"/>
      <c r="D304" s="116" t="s">
        <v>142</v>
      </c>
      <c r="E304" s="484" t="s">
        <v>117</v>
      </c>
      <c r="F304" s="474">
        <f>+E296+F299*E299</f>
        <v>52947.442999999999</v>
      </c>
      <c r="G304" s="478"/>
      <c r="H304" s="249">
        <f>+((F304/2)*F303)/6</f>
        <v>17649.147666666668</v>
      </c>
      <c r="I304" s="250"/>
      <c r="J304" s="236"/>
      <c r="K304" s="235"/>
      <c r="L304" s="234"/>
      <c r="M304" s="83"/>
      <c r="N304" s="92"/>
      <c r="O304" s="93">
        <f>H304</f>
        <v>17649.147666666668</v>
      </c>
      <c r="P304" s="88"/>
      <c r="Q304" s="235"/>
      <c r="R304" s="275"/>
    </row>
    <row r="305" spans="1:18" s="89" customFormat="1" x14ac:dyDescent="0.2">
      <c r="A305" s="275"/>
      <c r="B305" s="234"/>
      <c r="C305" s="63"/>
      <c r="D305" s="116" t="s">
        <v>191</v>
      </c>
      <c r="E305" s="474"/>
      <c r="F305" s="474">
        <f>+E296+F299*E299</f>
        <v>52947.442999999999</v>
      </c>
      <c r="G305" s="479"/>
      <c r="H305" s="249">
        <f>+(F305/30)*((F303*30)/20)</f>
        <v>10589.488599999999</v>
      </c>
      <c r="I305" s="251">
        <v>0</v>
      </c>
      <c r="J305" s="93">
        <f>+(H303+H304+H305)*C296</f>
        <v>240028.40826666667</v>
      </c>
      <c r="K305" s="235"/>
      <c r="L305" s="234"/>
      <c r="M305" s="83"/>
      <c r="N305" s="92"/>
      <c r="O305" s="93">
        <f>H305</f>
        <v>10589.488599999999</v>
      </c>
      <c r="P305" s="88"/>
      <c r="Q305" s="235"/>
      <c r="R305" s="275"/>
    </row>
    <row r="306" spans="1:18" s="89" customFormat="1" ht="11.1" customHeight="1" x14ac:dyDescent="0.2">
      <c r="A306" s="275"/>
      <c r="B306" s="200"/>
      <c r="C306" s="63"/>
      <c r="D306" s="94"/>
      <c r="E306" s="466"/>
      <c r="F306" s="486"/>
      <c r="G306" s="483"/>
      <c r="H306" s="453"/>
      <c r="I306" s="253"/>
      <c r="J306" s="79"/>
      <c r="K306" s="201"/>
      <c r="L306" s="200"/>
      <c r="M306" s="87"/>
      <c r="N306" s="79"/>
      <c r="O306" s="79"/>
      <c r="P306" s="88"/>
      <c r="Q306" s="201"/>
      <c r="R306" s="275"/>
    </row>
    <row r="307" spans="1:18" s="89" customFormat="1" ht="15" customHeight="1" x14ac:dyDescent="0.2">
      <c r="A307" s="275"/>
      <c r="B307" s="198"/>
      <c r="C307" s="13">
        <v>1</v>
      </c>
      <c r="D307" s="260" t="s">
        <v>337</v>
      </c>
      <c r="E307" s="489">
        <v>37371.11</v>
      </c>
      <c r="F307" s="486"/>
      <c r="G307" s="480"/>
      <c r="H307" s="481"/>
      <c r="I307" s="254"/>
      <c r="J307" s="146"/>
      <c r="K307" s="199"/>
      <c r="L307" s="198"/>
      <c r="M307" s="87"/>
      <c r="N307" s="79"/>
      <c r="O307" s="79"/>
      <c r="P307" s="88"/>
      <c r="Q307" s="199"/>
      <c r="R307" s="275"/>
    </row>
    <row r="308" spans="1:18" s="89" customFormat="1" x14ac:dyDescent="0.2">
      <c r="A308" s="275"/>
      <c r="B308" s="200"/>
      <c r="C308" s="63"/>
      <c r="D308" s="75" t="s">
        <v>84</v>
      </c>
      <c r="E308" s="490" t="s">
        <v>160</v>
      </c>
      <c r="F308" s="474">
        <f>E307</f>
        <v>37371.11</v>
      </c>
      <c r="G308" s="482">
        <v>1</v>
      </c>
      <c r="H308" s="249">
        <f>+G308*F308</f>
        <v>37371.11</v>
      </c>
      <c r="I308" s="253"/>
      <c r="J308" s="79"/>
      <c r="K308" s="201"/>
      <c r="L308" s="200"/>
      <c r="M308" s="83">
        <f>H308</f>
        <v>37371.11</v>
      </c>
      <c r="N308" s="91"/>
      <c r="O308" s="83"/>
      <c r="P308" s="31"/>
      <c r="Q308" s="201"/>
      <c r="R308" s="275"/>
    </row>
    <row r="309" spans="1:18" s="89" customFormat="1" x14ac:dyDescent="0.2">
      <c r="A309" s="275"/>
      <c r="B309" s="200"/>
      <c r="C309" s="63"/>
      <c r="D309" s="75" t="s">
        <v>77</v>
      </c>
      <c r="E309" s="485" t="s">
        <v>160</v>
      </c>
      <c r="F309" s="474">
        <f>E307</f>
        <v>37371.11</v>
      </c>
      <c r="G309" s="482">
        <v>4</v>
      </c>
      <c r="H309" s="249">
        <f>+G309*F309</f>
        <v>149484.44</v>
      </c>
      <c r="I309" s="253"/>
      <c r="J309" s="79"/>
      <c r="K309" s="201"/>
      <c r="L309" s="200"/>
      <c r="M309" s="83"/>
      <c r="N309" s="91">
        <f>H309</f>
        <v>149484.44</v>
      </c>
      <c r="O309" s="83"/>
      <c r="P309" s="31"/>
      <c r="Q309" s="201"/>
      <c r="R309" s="275"/>
    </row>
    <row r="310" spans="1:18" s="89" customFormat="1" x14ac:dyDescent="0.2">
      <c r="A310" s="275"/>
      <c r="B310" s="200"/>
      <c r="C310" s="63"/>
      <c r="D310" s="75" t="s">
        <v>158</v>
      </c>
      <c r="E310" s="247">
        <v>66</v>
      </c>
      <c r="F310" s="474">
        <f>E307/150*1.5</f>
        <v>373.71109999999999</v>
      </c>
      <c r="G310" s="482">
        <f>+F314</f>
        <v>5</v>
      </c>
      <c r="H310" s="249">
        <f>+G310*F310*E310</f>
        <v>123324.663</v>
      </c>
      <c r="I310" s="253"/>
      <c r="J310" s="79"/>
      <c r="K310" s="201"/>
      <c r="L310" s="200"/>
      <c r="M310" s="83"/>
      <c r="N310" s="91">
        <f>H310</f>
        <v>123324.663</v>
      </c>
      <c r="O310" s="83"/>
      <c r="P310" s="31"/>
      <c r="Q310" s="201"/>
      <c r="R310" s="275"/>
    </row>
    <row r="311" spans="1:18" s="89" customFormat="1" x14ac:dyDescent="0.2">
      <c r="A311" s="275"/>
      <c r="B311" s="200"/>
      <c r="C311" s="63"/>
      <c r="D311" s="75" t="s">
        <v>14</v>
      </c>
      <c r="E311" s="484" t="s">
        <v>119</v>
      </c>
      <c r="F311" s="474">
        <v>0</v>
      </c>
      <c r="G311" s="249">
        <f>$H$3</f>
        <v>80</v>
      </c>
      <c r="H311" s="249">
        <f>+G311*F311</f>
        <v>0</v>
      </c>
      <c r="I311" s="253"/>
      <c r="J311" s="79"/>
      <c r="K311" s="201"/>
      <c r="L311" s="200"/>
      <c r="M311" s="83"/>
      <c r="N311" s="91">
        <f>H311</f>
        <v>0</v>
      </c>
      <c r="O311" s="83"/>
      <c r="P311" s="31"/>
      <c r="Q311" s="201"/>
      <c r="R311" s="275"/>
    </row>
    <row r="312" spans="1:18" s="89" customFormat="1" x14ac:dyDescent="0.2">
      <c r="A312" s="275"/>
      <c r="B312" s="200"/>
      <c r="C312" s="63"/>
      <c r="D312" s="75" t="s">
        <v>16</v>
      </c>
      <c r="E312" s="484" t="s">
        <v>119</v>
      </c>
      <c r="F312" s="474">
        <v>0</v>
      </c>
      <c r="G312" s="249">
        <f>$H$4</f>
        <v>40</v>
      </c>
      <c r="H312" s="249">
        <f>+G312*F312</f>
        <v>0</v>
      </c>
      <c r="I312" s="253"/>
      <c r="J312" s="79"/>
      <c r="K312" s="201"/>
      <c r="L312" s="200"/>
      <c r="M312" s="83"/>
      <c r="N312" s="91">
        <f>H312</f>
        <v>0</v>
      </c>
      <c r="O312" s="83"/>
      <c r="P312" s="31"/>
      <c r="Q312" s="201"/>
      <c r="R312" s="275"/>
    </row>
    <row r="313" spans="1:18" s="89" customFormat="1" x14ac:dyDescent="0.2">
      <c r="A313" s="275"/>
      <c r="B313" s="200"/>
      <c r="C313" s="63"/>
      <c r="D313" s="75" t="s">
        <v>13</v>
      </c>
      <c r="E313" s="485" t="s">
        <v>161</v>
      </c>
      <c r="F313" s="474">
        <f>E307</f>
        <v>37371.11</v>
      </c>
      <c r="G313" s="482">
        <v>0</v>
      </c>
      <c r="H313" s="249">
        <f>+G313*F313</f>
        <v>0</v>
      </c>
      <c r="I313" s="253"/>
      <c r="J313" s="79"/>
      <c r="K313" s="201"/>
      <c r="L313" s="200"/>
      <c r="M313" s="83"/>
      <c r="N313" s="91"/>
      <c r="O313" s="83">
        <f>SUM(H313)</f>
        <v>0</v>
      </c>
      <c r="P313" s="31"/>
      <c r="Q313" s="201"/>
      <c r="R313" s="275"/>
    </row>
    <row r="314" spans="1:18" s="89" customFormat="1" x14ac:dyDescent="0.2">
      <c r="A314" s="275"/>
      <c r="B314" s="237"/>
      <c r="C314" s="63"/>
      <c r="D314" s="75" t="s">
        <v>157</v>
      </c>
      <c r="E314" s="484" t="s">
        <v>117</v>
      </c>
      <c r="F314" s="486">
        <f>+G308+G309+G313</f>
        <v>5</v>
      </c>
      <c r="G314" s="248" t="s">
        <v>143</v>
      </c>
      <c r="H314" s="249">
        <f>SUM(H308:H313)</f>
        <v>310180.21299999999</v>
      </c>
      <c r="I314" s="245"/>
      <c r="J314" s="79"/>
      <c r="K314" s="238"/>
      <c r="L314" s="237"/>
      <c r="M314" s="239"/>
      <c r="N314" s="240"/>
      <c r="O314" s="91"/>
      <c r="P314" s="31"/>
      <c r="Q314" s="238"/>
      <c r="R314" s="275"/>
    </row>
    <row r="315" spans="1:18" s="89" customFormat="1" x14ac:dyDescent="0.2">
      <c r="A315" s="275"/>
      <c r="B315" s="234"/>
      <c r="C315" s="63"/>
      <c r="D315" s="116" t="s">
        <v>142</v>
      </c>
      <c r="E315" s="484" t="s">
        <v>117</v>
      </c>
      <c r="F315" s="474">
        <f>+E307+F310*E310</f>
        <v>62036.042600000001</v>
      </c>
      <c r="G315" s="478"/>
      <c r="H315" s="249">
        <f>+((F315/2)*F314)/6</f>
        <v>25848.351083333331</v>
      </c>
      <c r="I315" s="250"/>
      <c r="J315" s="236"/>
      <c r="K315" s="235"/>
      <c r="L315" s="234"/>
      <c r="M315" s="83"/>
      <c r="N315" s="92"/>
      <c r="O315" s="93">
        <f>H315</f>
        <v>25848.351083333331</v>
      </c>
      <c r="P315" s="88"/>
      <c r="Q315" s="235"/>
      <c r="R315" s="275"/>
    </row>
    <row r="316" spans="1:18" s="89" customFormat="1" x14ac:dyDescent="0.2">
      <c r="A316" s="275"/>
      <c r="B316" s="234"/>
      <c r="C316" s="63"/>
      <c r="D316" s="116" t="s">
        <v>191</v>
      </c>
      <c r="E316" s="474"/>
      <c r="F316" s="474">
        <f>+E307+F310*E310</f>
        <v>62036.042600000001</v>
      </c>
      <c r="G316" s="479"/>
      <c r="H316" s="249">
        <f>+(F316/30)*((F314*30)/20)</f>
        <v>15509.010650000002</v>
      </c>
      <c r="I316" s="251">
        <v>0</v>
      </c>
      <c r="J316" s="93">
        <f>+(H314+H315+H316)*C307</f>
        <v>351537.57473333331</v>
      </c>
      <c r="K316" s="235"/>
      <c r="L316" s="234"/>
      <c r="M316" s="83"/>
      <c r="N316" s="92"/>
      <c r="O316" s="93">
        <f>H316</f>
        <v>15509.010650000002</v>
      </c>
      <c r="P316" s="88"/>
      <c r="Q316" s="235"/>
      <c r="R316" s="275"/>
    </row>
    <row r="317" spans="1:18" s="89" customFormat="1" x14ac:dyDescent="0.2">
      <c r="A317" s="275"/>
      <c r="B317" s="200"/>
      <c r="C317" s="63"/>
      <c r="D317" s="94"/>
      <c r="E317" s="466"/>
      <c r="F317" s="486"/>
      <c r="G317" s="483"/>
      <c r="H317" s="453"/>
      <c r="I317" s="253"/>
      <c r="J317" s="79"/>
      <c r="K317" s="201"/>
      <c r="L317" s="200"/>
      <c r="M317" s="87"/>
      <c r="N317" s="79"/>
      <c r="O317" s="79"/>
      <c r="P317" s="88"/>
      <c r="Q317" s="201"/>
      <c r="R317" s="275"/>
    </row>
    <row r="318" spans="1:18" s="89" customFormat="1" ht="15" customHeight="1" x14ac:dyDescent="0.2">
      <c r="A318" s="275"/>
      <c r="B318" s="198"/>
      <c r="C318" s="13">
        <v>1</v>
      </c>
      <c r="D318" s="260" t="s">
        <v>174</v>
      </c>
      <c r="E318" s="489">
        <v>31896.05</v>
      </c>
      <c r="F318" s="486"/>
      <c r="G318" s="480"/>
      <c r="H318" s="481"/>
      <c r="I318" s="254"/>
      <c r="J318" s="146"/>
      <c r="K318" s="199"/>
      <c r="L318" s="198"/>
      <c r="M318" s="87"/>
      <c r="N318" s="79"/>
      <c r="O318" s="79"/>
      <c r="P318" s="88"/>
      <c r="Q318" s="199"/>
      <c r="R318" s="275"/>
    </row>
    <row r="319" spans="1:18" s="89" customFormat="1" x14ac:dyDescent="0.2">
      <c r="A319" s="275"/>
      <c r="B319" s="200"/>
      <c r="C319" s="63"/>
      <c r="D319" s="75" t="s">
        <v>84</v>
      </c>
      <c r="E319" s="336" t="s">
        <v>160</v>
      </c>
      <c r="F319" s="244">
        <f>E318</f>
        <v>31896.05</v>
      </c>
      <c r="G319" s="62">
        <v>0.5</v>
      </c>
      <c r="H319" s="249">
        <f>+G319*F319</f>
        <v>15948.025</v>
      </c>
      <c r="I319" s="253"/>
      <c r="J319" s="79"/>
      <c r="K319" s="201"/>
      <c r="L319" s="200"/>
      <c r="M319" s="83">
        <f>H319</f>
        <v>15948.025</v>
      </c>
      <c r="N319" s="91"/>
      <c r="O319" s="83"/>
      <c r="P319" s="31"/>
      <c r="Q319" s="201"/>
      <c r="R319" s="275"/>
    </row>
    <row r="320" spans="1:18" s="89" customFormat="1" x14ac:dyDescent="0.2">
      <c r="A320" s="275"/>
      <c r="B320" s="200"/>
      <c r="C320" s="63"/>
      <c r="D320" s="75" t="s">
        <v>77</v>
      </c>
      <c r="E320" s="337" t="s">
        <v>160</v>
      </c>
      <c r="F320" s="244">
        <f>E318</f>
        <v>31896.05</v>
      </c>
      <c r="G320" s="62">
        <v>4</v>
      </c>
      <c r="H320" s="249">
        <f>+G320*F320</f>
        <v>127584.2</v>
      </c>
      <c r="I320" s="253"/>
      <c r="J320" s="79"/>
      <c r="K320" s="201"/>
      <c r="L320" s="200"/>
      <c r="M320" s="83"/>
      <c r="N320" s="91">
        <f>H320</f>
        <v>127584.2</v>
      </c>
      <c r="O320" s="83"/>
      <c r="P320" s="31"/>
      <c r="Q320" s="201"/>
      <c r="R320" s="275"/>
    </row>
    <row r="321" spans="1:18" s="89" customFormat="1" x14ac:dyDescent="0.2">
      <c r="A321" s="275"/>
      <c r="B321" s="200"/>
      <c r="C321" s="63"/>
      <c r="D321" s="75" t="s">
        <v>158</v>
      </c>
      <c r="E321" s="247">
        <v>66</v>
      </c>
      <c r="F321" s="244">
        <f>E318/150*1.5</f>
        <v>318.96050000000002</v>
      </c>
      <c r="G321" s="62">
        <f>+F325</f>
        <v>4.5</v>
      </c>
      <c r="H321" s="249">
        <f>+G321*F321*E321</f>
        <v>94731.268500000006</v>
      </c>
      <c r="I321" s="253"/>
      <c r="J321" s="79"/>
      <c r="K321" s="201"/>
      <c r="L321" s="200"/>
      <c r="M321" s="83"/>
      <c r="N321" s="91">
        <f>H321</f>
        <v>94731.268500000006</v>
      </c>
      <c r="O321" s="83"/>
      <c r="P321" s="31"/>
      <c r="Q321" s="201"/>
      <c r="R321" s="275"/>
    </row>
    <row r="322" spans="1:18" s="89" customFormat="1" x14ac:dyDescent="0.2">
      <c r="A322" s="275"/>
      <c r="B322" s="200"/>
      <c r="C322" s="63"/>
      <c r="D322" s="75" t="s">
        <v>14</v>
      </c>
      <c r="E322" s="339" t="s">
        <v>119</v>
      </c>
      <c r="F322" s="244">
        <v>0</v>
      </c>
      <c r="G322" s="28">
        <f>$H$3</f>
        <v>80</v>
      </c>
      <c r="H322" s="249">
        <f>+G322*F322</f>
        <v>0</v>
      </c>
      <c r="I322" s="253"/>
      <c r="J322" s="79"/>
      <c r="K322" s="201"/>
      <c r="L322" s="200"/>
      <c r="M322" s="83"/>
      <c r="N322" s="91">
        <f>H322</f>
        <v>0</v>
      </c>
      <c r="O322" s="83"/>
      <c r="P322" s="31"/>
      <c r="Q322" s="201"/>
      <c r="R322" s="275"/>
    </row>
    <row r="323" spans="1:18" s="89" customFormat="1" x14ac:dyDescent="0.2">
      <c r="A323" s="275"/>
      <c r="B323" s="200"/>
      <c r="C323" s="63"/>
      <c r="D323" s="75" t="s">
        <v>16</v>
      </c>
      <c r="E323" s="339" t="s">
        <v>119</v>
      </c>
      <c r="F323" s="244">
        <v>0</v>
      </c>
      <c r="G323" s="28">
        <f>$H$4</f>
        <v>40</v>
      </c>
      <c r="H323" s="249">
        <f>+G323*F323</f>
        <v>0</v>
      </c>
      <c r="I323" s="253"/>
      <c r="J323" s="79"/>
      <c r="K323" s="201"/>
      <c r="L323" s="200"/>
      <c r="M323" s="83"/>
      <c r="N323" s="91">
        <f>H323</f>
        <v>0</v>
      </c>
      <c r="O323" s="83"/>
      <c r="P323" s="31"/>
      <c r="Q323" s="201"/>
      <c r="R323" s="275"/>
    </row>
    <row r="324" spans="1:18" s="89" customFormat="1" x14ac:dyDescent="0.2">
      <c r="A324" s="275"/>
      <c r="B324" s="200"/>
      <c r="C324" s="63"/>
      <c r="D324" s="75" t="s">
        <v>13</v>
      </c>
      <c r="E324" s="337" t="s">
        <v>161</v>
      </c>
      <c r="F324" s="244">
        <f>E318</f>
        <v>31896.05</v>
      </c>
      <c r="G324" s="28">
        <v>0</v>
      </c>
      <c r="H324" s="249">
        <f>+G324*F324</f>
        <v>0</v>
      </c>
      <c r="I324" s="253"/>
      <c r="J324" s="79"/>
      <c r="K324" s="201"/>
      <c r="L324" s="200"/>
      <c r="M324" s="83"/>
      <c r="N324" s="91"/>
      <c r="O324" s="83">
        <f>SUM(H324)</f>
        <v>0</v>
      </c>
      <c r="P324" s="31"/>
      <c r="Q324" s="201"/>
      <c r="R324" s="275"/>
    </row>
    <row r="325" spans="1:18" s="89" customFormat="1" x14ac:dyDescent="0.2">
      <c r="A325" s="275"/>
      <c r="B325" s="237"/>
      <c r="C325" s="63"/>
      <c r="D325" s="75" t="s">
        <v>157</v>
      </c>
      <c r="E325" s="339" t="s">
        <v>117</v>
      </c>
      <c r="F325" s="486">
        <f>+G319+G320+G324</f>
        <v>4.5</v>
      </c>
      <c r="G325" s="248" t="s">
        <v>143</v>
      </c>
      <c r="H325" s="249">
        <f>SUM(H319:H324)</f>
        <v>238263.49350000001</v>
      </c>
      <c r="I325" s="245"/>
      <c r="J325" s="79"/>
      <c r="K325" s="238"/>
      <c r="L325" s="237"/>
      <c r="M325" s="239"/>
      <c r="N325" s="240"/>
      <c r="O325" s="91"/>
      <c r="P325" s="31"/>
      <c r="Q325" s="238"/>
      <c r="R325" s="275"/>
    </row>
    <row r="326" spans="1:18" s="89" customFormat="1" x14ac:dyDescent="0.2">
      <c r="A326" s="275"/>
      <c r="B326" s="234"/>
      <c r="C326" s="63"/>
      <c r="D326" s="116" t="s">
        <v>142</v>
      </c>
      <c r="E326" s="339" t="s">
        <v>117</v>
      </c>
      <c r="F326" s="474">
        <f>+E318+F321*E321</f>
        <v>52947.442999999999</v>
      </c>
      <c r="G326" s="478"/>
      <c r="H326" s="249">
        <f>+((F326/2)*F325)/6</f>
        <v>19855.291125</v>
      </c>
      <c r="I326" s="250"/>
      <c r="J326" s="236"/>
      <c r="K326" s="235"/>
      <c r="L326" s="234"/>
      <c r="M326" s="83"/>
      <c r="N326" s="92"/>
      <c r="O326" s="93">
        <f>H326</f>
        <v>19855.291125</v>
      </c>
      <c r="P326" s="88"/>
      <c r="Q326" s="235"/>
      <c r="R326" s="275"/>
    </row>
    <row r="327" spans="1:18" s="89" customFormat="1" x14ac:dyDescent="0.2">
      <c r="A327" s="275"/>
      <c r="B327" s="234"/>
      <c r="C327" s="63"/>
      <c r="D327" s="116" t="s">
        <v>191</v>
      </c>
      <c r="E327" s="244"/>
      <c r="F327" s="474">
        <f>+E318+F321*E321</f>
        <v>52947.442999999999</v>
      </c>
      <c r="G327" s="479"/>
      <c r="H327" s="249">
        <f>+(F327/30)*((F325*30)/20)</f>
        <v>11913.174674999998</v>
      </c>
      <c r="I327" s="251">
        <v>0</v>
      </c>
      <c r="J327" s="93">
        <f>+(H325+H326+H327)*C318</f>
        <v>270031.95929999999</v>
      </c>
      <c r="K327" s="235"/>
      <c r="L327" s="234"/>
      <c r="M327" s="83"/>
      <c r="N327" s="92"/>
      <c r="O327" s="93">
        <f>H327</f>
        <v>11913.174674999998</v>
      </c>
      <c r="P327" s="88"/>
      <c r="Q327" s="235"/>
      <c r="R327" s="275"/>
    </row>
    <row r="328" spans="1:18" s="89" customFormat="1" x14ac:dyDescent="0.2">
      <c r="A328" s="275"/>
      <c r="B328" s="200"/>
      <c r="C328" s="63"/>
      <c r="D328" s="94"/>
      <c r="E328" s="7"/>
      <c r="F328" s="486"/>
      <c r="G328" s="483"/>
      <c r="H328" s="453"/>
      <c r="I328" s="253"/>
      <c r="J328" s="79"/>
      <c r="K328" s="201"/>
      <c r="L328" s="200"/>
      <c r="M328" s="87"/>
      <c r="N328" s="79"/>
      <c r="O328" s="79"/>
      <c r="P328" s="88"/>
      <c r="Q328" s="201"/>
      <c r="R328" s="275"/>
    </row>
    <row r="329" spans="1:18" s="89" customFormat="1" ht="15" customHeight="1" x14ac:dyDescent="0.2">
      <c r="A329" s="275"/>
      <c r="B329" s="198"/>
      <c r="C329" s="13">
        <v>1</v>
      </c>
      <c r="D329" s="260" t="s">
        <v>176</v>
      </c>
      <c r="E329" s="18">
        <v>31896.05</v>
      </c>
      <c r="F329" s="486"/>
      <c r="G329" s="480"/>
      <c r="H329" s="481"/>
      <c r="I329" s="254"/>
      <c r="J329" s="146"/>
      <c r="K329" s="199"/>
      <c r="L329" s="198"/>
      <c r="M329" s="87"/>
      <c r="N329" s="79"/>
      <c r="O329" s="79"/>
      <c r="P329" s="88"/>
      <c r="Q329" s="199"/>
      <c r="R329" s="275"/>
    </row>
    <row r="330" spans="1:18" s="89" customFormat="1" x14ac:dyDescent="0.2">
      <c r="A330" s="275"/>
      <c r="B330" s="200"/>
      <c r="C330" s="63"/>
      <c r="D330" s="75" t="s">
        <v>84</v>
      </c>
      <c r="E330" s="336" t="s">
        <v>160</v>
      </c>
      <c r="F330" s="474">
        <f>E329</f>
        <v>31896.05</v>
      </c>
      <c r="G330" s="482">
        <v>0.25</v>
      </c>
      <c r="H330" s="249">
        <f>+G330*F330</f>
        <v>7974.0124999999998</v>
      </c>
      <c r="I330" s="253"/>
      <c r="J330" s="79"/>
      <c r="K330" s="201"/>
      <c r="L330" s="200"/>
      <c r="M330" s="83">
        <f>H330</f>
        <v>7974.0124999999998</v>
      </c>
      <c r="N330" s="91"/>
      <c r="O330" s="83"/>
      <c r="P330" s="31"/>
      <c r="Q330" s="201"/>
      <c r="R330" s="275"/>
    </row>
    <row r="331" spans="1:18" s="89" customFormat="1" x14ac:dyDescent="0.2">
      <c r="A331" s="275"/>
      <c r="B331" s="200"/>
      <c r="C331" s="63"/>
      <c r="D331" s="75" t="s">
        <v>77</v>
      </c>
      <c r="E331" s="337" t="s">
        <v>160</v>
      </c>
      <c r="F331" s="474">
        <f>E329</f>
        <v>31896.05</v>
      </c>
      <c r="G331" s="482">
        <v>4</v>
      </c>
      <c r="H331" s="249">
        <f>+G331*F331</f>
        <v>127584.2</v>
      </c>
      <c r="I331" s="253"/>
      <c r="J331" s="79"/>
      <c r="K331" s="201"/>
      <c r="L331" s="200"/>
      <c r="M331" s="83"/>
      <c r="N331" s="91">
        <f>H331</f>
        <v>127584.2</v>
      </c>
      <c r="O331" s="83"/>
      <c r="P331" s="31"/>
      <c r="Q331" s="201"/>
      <c r="R331" s="275"/>
    </row>
    <row r="332" spans="1:18" s="89" customFormat="1" x14ac:dyDescent="0.2">
      <c r="A332" s="275"/>
      <c r="B332" s="200"/>
      <c r="C332" s="63"/>
      <c r="D332" s="75" t="s">
        <v>158</v>
      </c>
      <c r="E332" s="247">
        <v>66</v>
      </c>
      <c r="F332" s="474">
        <f>E329/150*1.5</f>
        <v>318.96050000000002</v>
      </c>
      <c r="G332" s="482">
        <f>+F336</f>
        <v>4.25</v>
      </c>
      <c r="H332" s="249">
        <f>+G332*F332*E332</f>
        <v>89468.42025000001</v>
      </c>
      <c r="I332" s="253"/>
      <c r="J332" s="79"/>
      <c r="K332" s="201"/>
      <c r="L332" s="200"/>
      <c r="M332" s="83"/>
      <c r="N332" s="91">
        <f>H332</f>
        <v>89468.42025000001</v>
      </c>
      <c r="O332" s="83"/>
      <c r="P332" s="31"/>
      <c r="Q332" s="201"/>
      <c r="R332" s="275"/>
    </row>
    <row r="333" spans="1:18" s="89" customFormat="1" x14ac:dyDescent="0.2">
      <c r="A333" s="275"/>
      <c r="B333" s="200"/>
      <c r="C333" s="63"/>
      <c r="D333" s="75" t="s">
        <v>14</v>
      </c>
      <c r="E333" s="339" t="s">
        <v>119</v>
      </c>
      <c r="F333" s="474">
        <v>0</v>
      </c>
      <c r="G333" s="249">
        <f>$H$3</f>
        <v>80</v>
      </c>
      <c r="H333" s="249">
        <f>+G333*F333</f>
        <v>0</v>
      </c>
      <c r="I333" s="253"/>
      <c r="J333" s="79"/>
      <c r="K333" s="201"/>
      <c r="L333" s="200"/>
      <c r="M333" s="83"/>
      <c r="N333" s="91">
        <f>H333</f>
        <v>0</v>
      </c>
      <c r="O333" s="83"/>
      <c r="P333" s="31"/>
      <c r="Q333" s="201"/>
      <c r="R333" s="275"/>
    </row>
    <row r="334" spans="1:18" s="89" customFormat="1" x14ac:dyDescent="0.2">
      <c r="A334" s="275"/>
      <c r="B334" s="200"/>
      <c r="C334" s="63"/>
      <c r="D334" s="75" t="s">
        <v>16</v>
      </c>
      <c r="E334" s="339" t="s">
        <v>119</v>
      </c>
      <c r="F334" s="474">
        <v>0</v>
      </c>
      <c r="G334" s="249">
        <f>$H$4</f>
        <v>40</v>
      </c>
      <c r="H334" s="249">
        <f>+G334*F334</f>
        <v>0</v>
      </c>
      <c r="I334" s="253"/>
      <c r="J334" s="79"/>
      <c r="K334" s="201"/>
      <c r="L334" s="200"/>
      <c r="M334" s="83"/>
      <c r="N334" s="91">
        <f>H334</f>
        <v>0</v>
      </c>
      <c r="O334" s="83"/>
      <c r="P334" s="31"/>
      <c r="Q334" s="201"/>
      <c r="R334" s="275"/>
    </row>
    <row r="335" spans="1:18" s="89" customFormat="1" x14ac:dyDescent="0.2">
      <c r="A335" s="275"/>
      <c r="B335" s="200"/>
      <c r="C335" s="63"/>
      <c r="D335" s="75" t="s">
        <v>13</v>
      </c>
      <c r="E335" s="337" t="s">
        <v>161</v>
      </c>
      <c r="F335" s="474">
        <f>E329</f>
        <v>31896.05</v>
      </c>
      <c r="G335" s="249">
        <v>0</v>
      </c>
      <c r="H335" s="249">
        <f>+G335*F335</f>
        <v>0</v>
      </c>
      <c r="I335" s="253"/>
      <c r="J335" s="79"/>
      <c r="K335" s="201"/>
      <c r="L335" s="200"/>
      <c r="M335" s="83"/>
      <c r="N335" s="91"/>
      <c r="O335" s="83">
        <f>SUM(H335)</f>
        <v>0</v>
      </c>
      <c r="P335" s="31"/>
      <c r="Q335" s="201"/>
      <c r="R335" s="275"/>
    </row>
    <row r="336" spans="1:18" s="89" customFormat="1" x14ac:dyDescent="0.2">
      <c r="A336" s="275"/>
      <c r="B336" s="237"/>
      <c r="C336" s="63"/>
      <c r="D336" s="75" t="s">
        <v>157</v>
      </c>
      <c r="E336" s="339" t="s">
        <v>117</v>
      </c>
      <c r="F336" s="486">
        <f>+G330+G331+G335</f>
        <v>4.25</v>
      </c>
      <c r="G336" s="248" t="s">
        <v>143</v>
      </c>
      <c r="H336" s="249">
        <f>SUM(H330:H335)</f>
        <v>225026.63274999999</v>
      </c>
      <c r="I336" s="245"/>
      <c r="J336" s="79"/>
      <c r="K336" s="238"/>
      <c r="L336" s="237"/>
      <c r="M336" s="239"/>
      <c r="N336" s="240"/>
      <c r="O336" s="91"/>
      <c r="P336" s="31"/>
      <c r="Q336" s="238"/>
      <c r="R336" s="275"/>
    </row>
    <row r="337" spans="1:18" s="89" customFormat="1" x14ac:dyDescent="0.2">
      <c r="A337" s="275"/>
      <c r="B337" s="234"/>
      <c r="C337" s="63"/>
      <c r="D337" s="116" t="s">
        <v>142</v>
      </c>
      <c r="E337" s="339" t="s">
        <v>117</v>
      </c>
      <c r="F337" s="474">
        <f>+E329+F332*E332</f>
        <v>52947.442999999999</v>
      </c>
      <c r="G337" s="478"/>
      <c r="H337" s="249">
        <f>+((F337/2)*F336)/6</f>
        <v>18752.219395833334</v>
      </c>
      <c r="I337" s="250"/>
      <c r="J337" s="236"/>
      <c r="K337" s="235"/>
      <c r="L337" s="234"/>
      <c r="M337" s="83"/>
      <c r="N337" s="92"/>
      <c r="O337" s="93">
        <f>H337</f>
        <v>18752.219395833334</v>
      </c>
      <c r="P337" s="88"/>
      <c r="Q337" s="235"/>
      <c r="R337" s="275"/>
    </row>
    <row r="338" spans="1:18" s="89" customFormat="1" x14ac:dyDescent="0.2">
      <c r="A338" s="275"/>
      <c r="B338" s="234"/>
      <c r="C338" s="63"/>
      <c r="D338" s="116" t="s">
        <v>191</v>
      </c>
      <c r="E338" s="244"/>
      <c r="F338" s="474">
        <f>+E329+F332*E332</f>
        <v>52947.442999999999</v>
      </c>
      <c r="G338" s="479"/>
      <c r="H338" s="249">
        <f>+(F338/30)*((F336*30)/20)</f>
        <v>11251.331637499999</v>
      </c>
      <c r="I338" s="251">
        <v>0</v>
      </c>
      <c r="J338" s="93">
        <f>+(H336+H337+H338)*C329</f>
        <v>255030.18378333331</v>
      </c>
      <c r="K338" s="235"/>
      <c r="L338" s="234"/>
      <c r="M338" s="83"/>
      <c r="N338" s="92"/>
      <c r="O338" s="93">
        <f>H338</f>
        <v>11251.331637499999</v>
      </c>
      <c r="P338" s="88"/>
      <c r="Q338" s="235"/>
      <c r="R338" s="275"/>
    </row>
    <row r="339" spans="1:18" s="89" customFormat="1" x14ac:dyDescent="0.2">
      <c r="A339" s="275"/>
      <c r="B339" s="200"/>
      <c r="C339" s="63"/>
      <c r="D339" s="94"/>
      <c r="E339" s="255"/>
      <c r="F339" s="486"/>
      <c r="G339" s="483"/>
      <c r="H339" s="453"/>
      <c r="I339" s="253"/>
      <c r="J339" s="79"/>
      <c r="K339" s="201"/>
      <c r="L339" s="200"/>
      <c r="M339" s="87"/>
      <c r="N339" s="79"/>
      <c r="O339" s="79"/>
      <c r="P339" s="88"/>
      <c r="Q339" s="201"/>
      <c r="R339" s="275"/>
    </row>
    <row r="340" spans="1:18" s="89" customFormat="1" ht="15" customHeight="1" x14ac:dyDescent="0.2">
      <c r="A340" s="275"/>
      <c r="B340" s="198"/>
      <c r="C340" s="13">
        <v>2</v>
      </c>
      <c r="D340" s="260" t="s">
        <v>178</v>
      </c>
      <c r="E340" s="18">
        <v>31896.05</v>
      </c>
      <c r="F340" s="241"/>
      <c r="G340" s="34"/>
      <c r="H340" s="242"/>
      <c r="I340" s="254"/>
      <c r="J340" s="146"/>
      <c r="K340" s="199"/>
      <c r="L340" s="198"/>
      <c r="M340" s="87"/>
      <c r="N340" s="79"/>
      <c r="O340" s="79"/>
      <c r="P340" s="88"/>
      <c r="Q340" s="199"/>
      <c r="R340" s="275"/>
    </row>
    <row r="341" spans="1:18" s="89" customFormat="1" x14ac:dyDescent="0.2">
      <c r="A341" s="275"/>
      <c r="B341" s="200"/>
      <c r="C341" s="63"/>
      <c r="D341" s="75" t="s">
        <v>84</v>
      </c>
      <c r="E341" s="336" t="s">
        <v>160</v>
      </c>
      <c r="F341" s="244">
        <f>E340</f>
        <v>31896.05</v>
      </c>
      <c r="G341" s="62">
        <v>0.25</v>
      </c>
      <c r="H341" s="249">
        <f>+G341*F341</f>
        <v>7974.0124999999998</v>
      </c>
      <c r="I341" s="253"/>
      <c r="J341" s="79"/>
      <c r="K341" s="201"/>
      <c r="L341" s="200"/>
      <c r="M341" s="83">
        <f>H341</f>
        <v>7974.0124999999998</v>
      </c>
      <c r="N341" s="91"/>
      <c r="O341" s="83"/>
      <c r="P341" s="31"/>
      <c r="Q341" s="201"/>
      <c r="R341" s="275"/>
    </row>
    <row r="342" spans="1:18" s="89" customFormat="1" x14ac:dyDescent="0.2">
      <c r="A342" s="275"/>
      <c r="B342" s="200"/>
      <c r="C342" s="63"/>
      <c r="D342" s="75" t="s">
        <v>77</v>
      </c>
      <c r="E342" s="337" t="s">
        <v>160</v>
      </c>
      <c r="F342" s="244">
        <f>E340</f>
        <v>31896.05</v>
      </c>
      <c r="G342" s="62">
        <v>4</v>
      </c>
      <c r="H342" s="249">
        <f>+G342*F342</f>
        <v>127584.2</v>
      </c>
      <c r="I342" s="253"/>
      <c r="J342" s="79"/>
      <c r="K342" s="201"/>
      <c r="L342" s="200"/>
      <c r="M342" s="83"/>
      <c r="N342" s="91">
        <f>H342</f>
        <v>127584.2</v>
      </c>
      <c r="O342" s="83"/>
      <c r="P342" s="31"/>
      <c r="Q342" s="201"/>
      <c r="R342" s="275"/>
    </row>
    <row r="343" spans="1:18" s="89" customFormat="1" x14ac:dyDescent="0.2">
      <c r="A343" s="275"/>
      <c r="B343" s="200"/>
      <c r="C343" s="63"/>
      <c r="D343" s="469" t="s">
        <v>158</v>
      </c>
      <c r="E343" s="247">
        <v>66</v>
      </c>
      <c r="F343" s="474">
        <f>E340/150*1.5</f>
        <v>318.96050000000002</v>
      </c>
      <c r="G343" s="482">
        <f>+F347</f>
        <v>4.25</v>
      </c>
      <c r="H343" s="249">
        <f>+G343*F343*E343</f>
        <v>89468.42025000001</v>
      </c>
      <c r="I343" s="253"/>
      <c r="J343" s="79"/>
      <c r="K343" s="201"/>
      <c r="L343" s="200"/>
      <c r="M343" s="83"/>
      <c r="N343" s="91">
        <f>H343</f>
        <v>89468.42025000001</v>
      </c>
      <c r="O343" s="83"/>
      <c r="P343" s="31"/>
      <c r="Q343" s="201"/>
      <c r="R343" s="275"/>
    </row>
    <row r="344" spans="1:18" s="89" customFormat="1" x14ac:dyDescent="0.2">
      <c r="A344" s="275"/>
      <c r="B344" s="200"/>
      <c r="C344" s="63"/>
      <c r="D344" s="469" t="s">
        <v>14</v>
      </c>
      <c r="E344" s="484" t="s">
        <v>119</v>
      </c>
      <c r="F344" s="474">
        <v>0</v>
      </c>
      <c r="G344" s="249">
        <f>$H$3</f>
        <v>80</v>
      </c>
      <c r="H344" s="249">
        <f>+G344*F344</f>
        <v>0</v>
      </c>
      <c r="I344" s="253"/>
      <c r="J344" s="79"/>
      <c r="K344" s="201"/>
      <c r="L344" s="200"/>
      <c r="M344" s="83"/>
      <c r="N344" s="91">
        <f>H344</f>
        <v>0</v>
      </c>
      <c r="O344" s="83"/>
      <c r="P344" s="31"/>
      <c r="Q344" s="201"/>
      <c r="R344" s="275"/>
    </row>
    <row r="345" spans="1:18" s="89" customFormat="1" x14ac:dyDescent="0.2">
      <c r="A345" s="275"/>
      <c r="B345" s="200"/>
      <c r="C345" s="63"/>
      <c r="D345" s="469" t="s">
        <v>16</v>
      </c>
      <c r="E345" s="484" t="s">
        <v>119</v>
      </c>
      <c r="F345" s="474">
        <v>0</v>
      </c>
      <c r="G345" s="249">
        <f>$H$4</f>
        <v>40</v>
      </c>
      <c r="H345" s="249">
        <f>+G345*F345</f>
        <v>0</v>
      </c>
      <c r="I345" s="253"/>
      <c r="J345" s="79"/>
      <c r="K345" s="201"/>
      <c r="L345" s="200"/>
      <c r="M345" s="83"/>
      <c r="N345" s="91">
        <f>H345</f>
        <v>0</v>
      </c>
      <c r="O345" s="83"/>
      <c r="P345" s="31"/>
      <c r="Q345" s="201"/>
      <c r="R345" s="275"/>
    </row>
    <row r="346" spans="1:18" s="89" customFormat="1" x14ac:dyDescent="0.2">
      <c r="A346" s="275"/>
      <c r="B346" s="200"/>
      <c r="C346" s="63"/>
      <c r="D346" s="469" t="s">
        <v>13</v>
      </c>
      <c r="E346" s="485" t="s">
        <v>161</v>
      </c>
      <c r="F346" s="474">
        <f>E340</f>
        <v>31896.05</v>
      </c>
      <c r="G346" s="249">
        <v>0</v>
      </c>
      <c r="H346" s="249">
        <f>+G346*F346</f>
        <v>0</v>
      </c>
      <c r="I346" s="253"/>
      <c r="J346" s="79"/>
      <c r="K346" s="201"/>
      <c r="L346" s="200"/>
      <c r="M346" s="83"/>
      <c r="N346" s="91"/>
      <c r="O346" s="83">
        <f>SUM(H346)</f>
        <v>0</v>
      </c>
      <c r="P346" s="31"/>
      <c r="Q346" s="201"/>
      <c r="R346" s="275"/>
    </row>
    <row r="347" spans="1:18" s="89" customFormat="1" x14ac:dyDescent="0.2">
      <c r="A347" s="275"/>
      <c r="B347" s="237"/>
      <c r="C347" s="63"/>
      <c r="D347" s="469" t="s">
        <v>157</v>
      </c>
      <c r="E347" s="484" t="s">
        <v>117</v>
      </c>
      <c r="F347" s="486">
        <f>+G341+G342+G346</f>
        <v>4.25</v>
      </c>
      <c r="G347" s="248" t="s">
        <v>143</v>
      </c>
      <c r="H347" s="249">
        <f>SUM(H341:H346)</f>
        <v>225026.63274999999</v>
      </c>
      <c r="I347" s="245"/>
      <c r="J347" s="79"/>
      <c r="K347" s="238"/>
      <c r="L347" s="237"/>
      <c r="M347" s="239"/>
      <c r="N347" s="240"/>
      <c r="O347" s="91"/>
      <c r="P347" s="31"/>
      <c r="Q347" s="238"/>
      <c r="R347" s="275"/>
    </row>
    <row r="348" spans="1:18" s="89" customFormat="1" x14ac:dyDescent="0.2">
      <c r="A348" s="275"/>
      <c r="B348" s="234"/>
      <c r="C348" s="63"/>
      <c r="D348" s="487" t="s">
        <v>142</v>
      </c>
      <c r="E348" s="484" t="s">
        <v>117</v>
      </c>
      <c r="F348" s="474">
        <f>+E340+F343*E343</f>
        <v>52947.442999999999</v>
      </c>
      <c r="G348" s="478"/>
      <c r="H348" s="249">
        <f>+((F348/2)*F347)/6</f>
        <v>18752.219395833334</v>
      </c>
      <c r="I348" s="250"/>
      <c r="J348" s="236"/>
      <c r="K348" s="235"/>
      <c r="L348" s="234"/>
      <c r="M348" s="83"/>
      <c r="N348" s="92"/>
      <c r="O348" s="93">
        <f>H348</f>
        <v>18752.219395833334</v>
      </c>
      <c r="P348" s="88"/>
      <c r="Q348" s="235"/>
      <c r="R348" s="275"/>
    </row>
    <row r="349" spans="1:18" s="89" customFormat="1" x14ac:dyDescent="0.2">
      <c r="A349" s="275"/>
      <c r="B349" s="234"/>
      <c r="C349" s="63"/>
      <c r="D349" s="487" t="s">
        <v>191</v>
      </c>
      <c r="E349" s="474"/>
      <c r="F349" s="474">
        <f>+E340+F343*E343</f>
        <v>52947.442999999999</v>
      </c>
      <c r="G349" s="479"/>
      <c r="H349" s="249">
        <f>+(F349/30)*((F347*30)/20)</f>
        <v>11251.331637499999</v>
      </c>
      <c r="I349" s="251">
        <v>0</v>
      </c>
      <c r="J349" s="93">
        <f>+(H347+H348+H349)*C340</f>
        <v>510060.36756666662</v>
      </c>
      <c r="K349" s="235"/>
      <c r="L349" s="234"/>
      <c r="M349" s="83"/>
      <c r="N349" s="92"/>
      <c r="O349" s="93">
        <f>H349</f>
        <v>11251.331637499999</v>
      </c>
      <c r="P349" s="88"/>
      <c r="Q349" s="235"/>
      <c r="R349" s="275"/>
    </row>
    <row r="350" spans="1:18" s="89" customFormat="1" x14ac:dyDescent="0.2">
      <c r="A350" s="275"/>
      <c r="B350" s="200"/>
      <c r="C350" s="63"/>
      <c r="D350" s="488"/>
      <c r="E350" s="466"/>
      <c r="F350" s="486"/>
      <c r="G350" s="483"/>
      <c r="H350" s="453"/>
      <c r="I350" s="253"/>
      <c r="J350" s="79"/>
      <c r="K350" s="201"/>
      <c r="L350" s="200"/>
      <c r="M350" s="87"/>
      <c r="N350" s="79"/>
      <c r="O350" s="79"/>
      <c r="P350" s="88"/>
      <c r="Q350" s="201"/>
      <c r="R350" s="275"/>
    </row>
    <row r="351" spans="1:18" s="89" customFormat="1" ht="15" customHeight="1" x14ac:dyDescent="0.2">
      <c r="A351" s="275"/>
      <c r="B351" s="198"/>
      <c r="C351" s="13">
        <v>1</v>
      </c>
      <c r="D351" s="264" t="s">
        <v>179</v>
      </c>
      <c r="E351" s="489">
        <v>40521.599999999999</v>
      </c>
      <c r="F351" s="486"/>
      <c r="G351" s="480"/>
      <c r="H351" s="481"/>
      <c r="I351" s="254"/>
      <c r="J351" s="146"/>
      <c r="K351" s="199"/>
      <c r="L351" s="198"/>
      <c r="M351" s="87"/>
      <c r="N351" s="79"/>
      <c r="O351" s="79"/>
      <c r="P351" s="88"/>
      <c r="Q351" s="199"/>
      <c r="R351" s="275"/>
    </row>
    <row r="352" spans="1:18" s="89" customFormat="1" x14ac:dyDescent="0.2">
      <c r="A352" s="275"/>
      <c r="B352" s="200"/>
      <c r="C352" s="63"/>
      <c r="D352" s="469" t="s">
        <v>84</v>
      </c>
      <c r="E352" s="490" t="s">
        <v>160</v>
      </c>
      <c r="F352" s="474">
        <f>E351</f>
        <v>40521.599999999999</v>
      </c>
      <c r="G352" s="482">
        <v>0.25</v>
      </c>
      <c r="H352" s="249">
        <f>+G352*F352</f>
        <v>10130.4</v>
      </c>
      <c r="I352" s="253"/>
      <c r="J352" s="79"/>
      <c r="K352" s="201"/>
      <c r="L352" s="200"/>
      <c r="M352" s="83">
        <f>H352</f>
        <v>10130.4</v>
      </c>
      <c r="N352" s="91"/>
      <c r="O352" s="83"/>
      <c r="P352" s="31"/>
      <c r="Q352" s="201"/>
      <c r="R352" s="275"/>
    </row>
    <row r="353" spans="1:18" s="89" customFormat="1" x14ac:dyDescent="0.2">
      <c r="A353" s="275"/>
      <c r="B353" s="200"/>
      <c r="C353" s="63"/>
      <c r="D353" s="469" t="s">
        <v>77</v>
      </c>
      <c r="E353" s="485" t="s">
        <v>160</v>
      </c>
      <c r="F353" s="474">
        <f>E351</f>
        <v>40521.599999999999</v>
      </c>
      <c r="G353" s="482">
        <v>4</v>
      </c>
      <c r="H353" s="249">
        <f>+G353*F353</f>
        <v>162086.39999999999</v>
      </c>
      <c r="I353" s="253"/>
      <c r="J353" s="79"/>
      <c r="K353" s="201"/>
      <c r="L353" s="200"/>
      <c r="M353" s="83"/>
      <c r="N353" s="91">
        <f>H353</f>
        <v>162086.39999999999</v>
      </c>
      <c r="O353" s="83"/>
      <c r="P353" s="31"/>
      <c r="Q353" s="201"/>
      <c r="R353" s="275"/>
    </row>
    <row r="354" spans="1:18" s="89" customFormat="1" x14ac:dyDescent="0.2">
      <c r="A354" s="275"/>
      <c r="B354" s="200"/>
      <c r="C354" s="63"/>
      <c r="D354" s="469" t="s">
        <v>158</v>
      </c>
      <c r="E354" s="247">
        <v>66</v>
      </c>
      <c r="F354" s="474">
        <f>E351/150*1.5</f>
        <v>405.21600000000001</v>
      </c>
      <c r="G354" s="482">
        <f>+F358</f>
        <v>4.25</v>
      </c>
      <c r="H354" s="249">
        <f>+G354*F354*E354</f>
        <v>113663.088</v>
      </c>
      <c r="I354" s="253"/>
      <c r="J354" s="79"/>
      <c r="K354" s="201"/>
      <c r="L354" s="200"/>
      <c r="M354" s="83"/>
      <c r="N354" s="91">
        <f>H354</f>
        <v>113663.088</v>
      </c>
      <c r="O354" s="83"/>
      <c r="P354" s="31"/>
      <c r="Q354" s="201"/>
      <c r="R354" s="275"/>
    </row>
    <row r="355" spans="1:18" s="89" customFormat="1" x14ac:dyDescent="0.2">
      <c r="A355" s="275"/>
      <c r="B355" s="200"/>
      <c r="C355" s="63"/>
      <c r="D355" s="469" t="s">
        <v>14</v>
      </c>
      <c r="E355" s="484" t="s">
        <v>119</v>
      </c>
      <c r="F355" s="474">
        <v>0</v>
      </c>
      <c r="G355" s="249">
        <f>$H$3</f>
        <v>80</v>
      </c>
      <c r="H355" s="249">
        <f>+G355*F355</f>
        <v>0</v>
      </c>
      <c r="I355" s="253"/>
      <c r="J355" s="79"/>
      <c r="K355" s="201"/>
      <c r="L355" s="200"/>
      <c r="M355" s="83"/>
      <c r="N355" s="91">
        <f>H355</f>
        <v>0</v>
      </c>
      <c r="O355" s="83"/>
      <c r="P355" s="31"/>
      <c r="Q355" s="201"/>
      <c r="R355" s="275"/>
    </row>
    <row r="356" spans="1:18" s="89" customFormat="1" x14ac:dyDescent="0.2">
      <c r="A356" s="275"/>
      <c r="B356" s="200"/>
      <c r="C356" s="63"/>
      <c r="D356" s="469" t="s">
        <v>16</v>
      </c>
      <c r="E356" s="484" t="s">
        <v>119</v>
      </c>
      <c r="F356" s="474">
        <v>0</v>
      </c>
      <c r="G356" s="249">
        <f>$H$4</f>
        <v>40</v>
      </c>
      <c r="H356" s="249">
        <f>+G356*F356</f>
        <v>0</v>
      </c>
      <c r="I356" s="253"/>
      <c r="J356" s="79"/>
      <c r="K356" s="201"/>
      <c r="L356" s="200"/>
      <c r="M356" s="83"/>
      <c r="N356" s="91">
        <f>H356</f>
        <v>0</v>
      </c>
      <c r="O356" s="83"/>
      <c r="P356" s="31"/>
      <c r="Q356" s="201"/>
      <c r="R356" s="275"/>
    </row>
    <row r="357" spans="1:18" s="89" customFormat="1" x14ac:dyDescent="0.2">
      <c r="A357" s="275"/>
      <c r="B357" s="200"/>
      <c r="C357" s="63"/>
      <c r="D357" s="469" t="s">
        <v>13</v>
      </c>
      <c r="E357" s="485" t="s">
        <v>161</v>
      </c>
      <c r="F357" s="474">
        <f>E351</f>
        <v>40521.599999999999</v>
      </c>
      <c r="G357" s="249">
        <v>0</v>
      </c>
      <c r="H357" s="249">
        <f>+G357*F357</f>
        <v>0</v>
      </c>
      <c r="I357" s="253"/>
      <c r="J357" s="79"/>
      <c r="K357" s="201"/>
      <c r="L357" s="200"/>
      <c r="M357" s="83"/>
      <c r="N357" s="91"/>
      <c r="O357" s="83">
        <f>SUM(H357)</f>
        <v>0</v>
      </c>
      <c r="P357" s="31"/>
      <c r="Q357" s="201"/>
      <c r="R357" s="275"/>
    </row>
    <row r="358" spans="1:18" s="89" customFormat="1" x14ac:dyDescent="0.2">
      <c r="A358" s="275"/>
      <c r="B358" s="237"/>
      <c r="C358" s="63"/>
      <c r="D358" s="469" t="s">
        <v>157</v>
      </c>
      <c r="E358" s="484" t="s">
        <v>117</v>
      </c>
      <c r="F358" s="486">
        <f>+G352+G353+G357</f>
        <v>4.25</v>
      </c>
      <c r="G358" s="248" t="s">
        <v>143</v>
      </c>
      <c r="H358" s="249">
        <f>SUM(H352:H357)</f>
        <v>285879.88799999998</v>
      </c>
      <c r="I358" s="245"/>
      <c r="J358" s="79"/>
      <c r="K358" s="238"/>
      <c r="L358" s="237"/>
      <c r="M358" s="239"/>
      <c r="N358" s="240"/>
      <c r="O358" s="91"/>
      <c r="P358" s="31"/>
      <c r="Q358" s="238"/>
      <c r="R358" s="275"/>
    </row>
    <row r="359" spans="1:18" s="89" customFormat="1" x14ac:dyDescent="0.2">
      <c r="A359" s="275"/>
      <c r="B359" s="234"/>
      <c r="C359" s="63"/>
      <c r="D359" s="487" t="s">
        <v>142</v>
      </c>
      <c r="E359" s="484" t="s">
        <v>117</v>
      </c>
      <c r="F359" s="474">
        <f>+E351+F354*E354</f>
        <v>67265.856</v>
      </c>
      <c r="G359" s="478"/>
      <c r="H359" s="249">
        <f>+((F359/2)*F358)/6</f>
        <v>23823.323999999997</v>
      </c>
      <c r="I359" s="250"/>
      <c r="J359" s="236"/>
      <c r="K359" s="235"/>
      <c r="L359" s="234"/>
      <c r="M359" s="83"/>
      <c r="N359" s="92"/>
      <c r="O359" s="93">
        <f>H359</f>
        <v>23823.323999999997</v>
      </c>
      <c r="P359" s="88"/>
      <c r="Q359" s="235"/>
      <c r="R359" s="275"/>
    </row>
    <row r="360" spans="1:18" s="89" customFormat="1" x14ac:dyDescent="0.2">
      <c r="A360" s="275"/>
      <c r="B360" s="234"/>
      <c r="C360" s="63"/>
      <c r="D360" s="487" t="s">
        <v>191</v>
      </c>
      <c r="E360" s="474"/>
      <c r="F360" s="474">
        <f>+E351+F354*E354</f>
        <v>67265.856</v>
      </c>
      <c r="G360" s="479"/>
      <c r="H360" s="249">
        <f>+(F360/30)*((F358*30)/20)</f>
        <v>14293.994400000001</v>
      </c>
      <c r="I360" s="251">
        <v>0</v>
      </c>
      <c r="J360" s="93">
        <f>+(H358+H359+H360)*C351</f>
        <v>323997.20640000002</v>
      </c>
      <c r="K360" s="235"/>
      <c r="L360" s="234"/>
      <c r="M360" s="83"/>
      <c r="N360" s="92"/>
      <c r="O360" s="93">
        <f>H360</f>
        <v>14293.994400000001</v>
      </c>
      <c r="P360" s="88"/>
      <c r="Q360" s="235"/>
      <c r="R360" s="275"/>
    </row>
    <row r="361" spans="1:18" s="89" customFormat="1" x14ac:dyDescent="0.2">
      <c r="A361" s="275"/>
      <c r="B361" s="200"/>
      <c r="C361" s="63"/>
      <c r="D361" s="488"/>
      <c r="E361" s="466"/>
      <c r="F361" s="486"/>
      <c r="G361" s="483"/>
      <c r="H361" s="453"/>
      <c r="I361" s="253"/>
      <c r="J361" s="79"/>
      <c r="K361" s="201"/>
      <c r="L361" s="200"/>
      <c r="M361" s="87"/>
      <c r="N361" s="79"/>
      <c r="O361" s="79"/>
      <c r="P361" s="88"/>
      <c r="Q361" s="201"/>
      <c r="R361" s="275"/>
    </row>
    <row r="362" spans="1:18" s="89" customFormat="1" ht="15" customHeight="1" x14ac:dyDescent="0.2">
      <c r="A362" s="275"/>
      <c r="B362" s="198"/>
      <c r="C362" s="13">
        <v>2</v>
      </c>
      <c r="D362" s="264" t="s">
        <v>180</v>
      </c>
      <c r="E362" s="489">
        <v>31896.05</v>
      </c>
      <c r="F362" s="486"/>
      <c r="G362" s="480"/>
      <c r="H362" s="481"/>
      <c r="I362" s="254"/>
      <c r="J362" s="146"/>
      <c r="K362" s="199"/>
      <c r="L362" s="198"/>
      <c r="M362" s="87"/>
      <c r="N362" s="79"/>
      <c r="O362" s="79"/>
      <c r="P362" s="88"/>
      <c r="Q362" s="199"/>
      <c r="R362" s="275"/>
    </row>
    <row r="363" spans="1:18" s="89" customFormat="1" x14ac:dyDescent="0.2">
      <c r="A363" s="275"/>
      <c r="B363" s="200"/>
      <c r="C363" s="63"/>
      <c r="D363" s="469" t="s">
        <v>84</v>
      </c>
      <c r="E363" s="490" t="s">
        <v>160</v>
      </c>
      <c r="F363" s="474">
        <f>E362</f>
        <v>31896.05</v>
      </c>
      <c r="G363" s="482">
        <v>0</v>
      </c>
      <c r="H363" s="249">
        <f>+G363*F363</f>
        <v>0</v>
      </c>
      <c r="I363" s="253"/>
      <c r="J363" s="79"/>
      <c r="K363" s="201"/>
      <c r="L363" s="200"/>
      <c r="M363" s="83">
        <f>H363</f>
        <v>0</v>
      </c>
      <c r="N363" s="91"/>
      <c r="O363" s="83"/>
      <c r="P363" s="31"/>
      <c r="Q363" s="201"/>
      <c r="R363" s="275"/>
    </row>
    <row r="364" spans="1:18" s="89" customFormat="1" x14ac:dyDescent="0.2">
      <c r="A364" s="275"/>
      <c r="B364" s="200"/>
      <c r="C364" s="63"/>
      <c r="D364" s="469" t="s">
        <v>77</v>
      </c>
      <c r="E364" s="485" t="s">
        <v>160</v>
      </c>
      <c r="F364" s="474">
        <f>E362</f>
        <v>31896.05</v>
      </c>
      <c r="G364" s="482">
        <v>4</v>
      </c>
      <c r="H364" s="249">
        <f>+G364*F364</f>
        <v>127584.2</v>
      </c>
      <c r="I364" s="253"/>
      <c r="J364" s="79"/>
      <c r="K364" s="201"/>
      <c r="L364" s="200"/>
      <c r="M364" s="83"/>
      <c r="N364" s="91">
        <f>H364</f>
        <v>127584.2</v>
      </c>
      <c r="O364" s="83"/>
      <c r="P364" s="31"/>
      <c r="Q364" s="201"/>
      <c r="R364" s="275"/>
    </row>
    <row r="365" spans="1:18" s="89" customFormat="1" x14ac:dyDescent="0.2">
      <c r="A365" s="275"/>
      <c r="B365" s="200"/>
      <c r="C365" s="63"/>
      <c r="D365" s="75" t="s">
        <v>158</v>
      </c>
      <c r="E365" s="247">
        <v>66</v>
      </c>
      <c r="F365" s="244">
        <f>E362/150*1.5</f>
        <v>318.96050000000002</v>
      </c>
      <c r="G365" s="62">
        <f>+F369</f>
        <v>4</v>
      </c>
      <c r="H365" s="249">
        <f>+G365*F365*E365</f>
        <v>84205.572</v>
      </c>
      <c r="I365" s="253"/>
      <c r="J365" s="79"/>
      <c r="K365" s="201"/>
      <c r="L365" s="200"/>
      <c r="M365" s="83"/>
      <c r="N365" s="91">
        <f>H365</f>
        <v>84205.572</v>
      </c>
      <c r="O365" s="83"/>
      <c r="P365" s="31"/>
      <c r="Q365" s="201"/>
      <c r="R365" s="275"/>
    </row>
    <row r="366" spans="1:18" s="89" customFormat="1" x14ac:dyDescent="0.2">
      <c r="A366" s="275"/>
      <c r="B366" s="200"/>
      <c r="C366" s="63"/>
      <c r="D366" s="75" t="s">
        <v>14</v>
      </c>
      <c r="E366" s="339" t="s">
        <v>119</v>
      </c>
      <c r="F366" s="244">
        <v>0</v>
      </c>
      <c r="G366" s="28">
        <f>$H$3</f>
        <v>80</v>
      </c>
      <c r="H366" s="249">
        <f>+G366*F366</f>
        <v>0</v>
      </c>
      <c r="I366" s="253"/>
      <c r="J366" s="79"/>
      <c r="K366" s="201"/>
      <c r="L366" s="200"/>
      <c r="M366" s="83"/>
      <c r="N366" s="91">
        <f>H366</f>
        <v>0</v>
      </c>
      <c r="O366" s="83"/>
      <c r="P366" s="31"/>
      <c r="Q366" s="201"/>
      <c r="R366" s="275"/>
    </row>
    <row r="367" spans="1:18" s="89" customFormat="1" x14ac:dyDescent="0.2">
      <c r="A367" s="275"/>
      <c r="B367" s="200"/>
      <c r="C367" s="63"/>
      <c r="D367" s="75" t="s">
        <v>16</v>
      </c>
      <c r="E367" s="339" t="s">
        <v>119</v>
      </c>
      <c r="F367" s="244">
        <v>0</v>
      </c>
      <c r="G367" s="28">
        <f>$H$4</f>
        <v>40</v>
      </c>
      <c r="H367" s="249">
        <f>+G367*F367</f>
        <v>0</v>
      </c>
      <c r="I367" s="253"/>
      <c r="J367" s="79"/>
      <c r="K367" s="201"/>
      <c r="L367" s="200"/>
      <c r="M367" s="83"/>
      <c r="N367" s="91">
        <f>H367</f>
        <v>0</v>
      </c>
      <c r="O367" s="83"/>
      <c r="P367" s="31"/>
      <c r="Q367" s="201"/>
      <c r="R367" s="275"/>
    </row>
    <row r="368" spans="1:18" s="89" customFormat="1" x14ac:dyDescent="0.2">
      <c r="A368" s="275"/>
      <c r="B368" s="200"/>
      <c r="C368" s="63"/>
      <c r="D368" s="75" t="s">
        <v>13</v>
      </c>
      <c r="E368" s="337" t="s">
        <v>161</v>
      </c>
      <c r="F368" s="244">
        <f>E362</f>
        <v>31896.05</v>
      </c>
      <c r="G368" s="28">
        <v>0</v>
      </c>
      <c r="H368" s="249">
        <f>+G368*F368</f>
        <v>0</v>
      </c>
      <c r="I368" s="253"/>
      <c r="J368" s="79"/>
      <c r="K368" s="201"/>
      <c r="L368" s="200"/>
      <c r="M368" s="83"/>
      <c r="N368" s="91"/>
      <c r="O368" s="83">
        <f>SUM(H368)</f>
        <v>0</v>
      </c>
      <c r="P368" s="31"/>
      <c r="Q368" s="201"/>
      <c r="R368" s="275"/>
    </row>
    <row r="369" spans="1:18" s="89" customFormat="1" x14ac:dyDescent="0.2">
      <c r="A369" s="275"/>
      <c r="B369" s="237"/>
      <c r="C369" s="63"/>
      <c r="D369" s="469" t="s">
        <v>157</v>
      </c>
      <c r="E369" s="484" t="s">
        <v>117</v>
      </c>
      <c r="F369" s="486">
        <f>+G363+G364+G368</f>
        <v>4</v>
      </c>
      <c r="G369" s="248" t="s">
        <v>143</v>
      </c>
      <c r="H369" s="249">
        <f>SUM(H363:H368)</f>
        <v>211789.772</v>
      </c>
      <c r="I369" s="245"/>
      <c r="J369" s="79"/>
      <c r="K369" s="238"/>
      <c r="L369" s="237"/>
      <c r="M369" s="239"/>
      <c r="N369" s="240"/>
      <c r="O369" s="91"/>
      <c r="P369" s="31"/>
      <c r="Q369" s="238"/>
      <c r="R369" s="275"/>
    </row>
    <row r="370" spans="1:18" s="89" customFormat="1" x14ac:dyDescent="0.2">
      <c r="A370" s="275"/>
      <c r="B370" s="234"/>
      <c r="C370" s="63"/>
      <c r="D370" s="487" t="s">
        <v>142</v>
      </c>
      <c r="E370" s="484" t="s">
        <v>117</v>
      </c>
      <c r="F370" s="474">
        <f>+E362+F365*E365</f>
        <v>52947.442999999999</v>
      </c>
      <c r="G370" s="478"/>
      <c r="H370" s="249">
        <f>+((F370/2)*F369)/6</f>
        <v>17649.147666666668</v>
      </c>
      <c r="I370" s="250"/>
      <c r="J370" s="236"/>
      <c r="K370" s="235"/>
      <c r="L370" s="234"/>
      <c r="M370" s="83"/>
      <c r="N370" s="92"/>
      <c r="O370" s="93">
        <f>H370</f>
        <v>17649.147666666668</v>
      </c>
      <c r="P370" s="88"/>
      <c r="Q370" s="235"/>
      <c r="R370" s="275"/>
    </row>
    <row r="371" spans="1:18" s="89" customFormat="1" x14ac:dyDescent="0.2">
      <c r="A371" s="275"/>
      <c r="B371" s="234"/>
      <c r="C371" s="63"/>
      <c r="D371" s="418" t="s">
        <v>191</v>
      </c>
      <c r="E371" s="474"/>
      <c r="F371" s="474">
        <f>+E362+F365*E365</f>
        <v>52947.442999999999</v>
      </c>
      <c r="G371" s="491"/>
      <c r="H371" s="249">
        <f>+(F371/30)*((F369*30)/20)</f>
        <v>10589.488599999999</v>
      </c>
      <c r="I371" s="251">
        <v>0</v>
      </c>
      <c r="J371" s="93">
        <f>+(H369+H370+H371)*C362</f>
        <v>480056.81653333333</v>
      </c>
      <c r="K371" s="235"/>
      <c r="L371" s="234"/>
      <c r="M371" s="83"/>
      <c r="N371" s="92"/>
      <c r="O371" s="93">
        <f>H371</f>
        <v>10589.488599999999</v>
      </c>
      <c r="P371" s="88"/>
      <c r="Q371" s="235"/>
      <c r="R371" s="275"/>
    </row>
    <row r="372" spans="1:18" s="89" customFormat="1" x14ac:dyDescent="0.2">
      <c r="A372" s="275"/>
      <c r="B372" s="200"/>
      <c r="C372" s="63"/>
      <c r="D372" s="488"/>
      <c r="E372" s="466"/>
      <c r="F372" s="486"/>
      <c r="G372" s="483"/>
      <c r="H372" s="453"/>
      <c r="I372" s="253"/>
      <c r="J372" s="79"/>
      <c r="K372" s="201"/>
      <c r="L372" s="200"/>
      <c r="M372" s="87"/>
      <c r="N372" s="79"/>
      <c r="O372" s="79"/>
      <c r="P372" s="88"/>
      <c r="Q372" s="201"/>
      <c r="R372" s="275"/>
    </row>
    <row r="373" spans="1:18" s="89" customFormat="1" ht="26.1" customHeight="1" x14ac:dyDescent="0.2">
      <c r="A373" s="275"/>
      <c r="B373" s="409"/>
      <c r="C373" s="176">
        <f>SUM(C142:C365)</f>
        <v>26</v>
      </c>
      <c r="D373" s="488"/>
      <c r="E373" s="466"/>
      <c r="F373" s="486"/>
      <c r="G373" s="483"/>
      <c r="H373" s="453"/>
      <c r="I373" s="253"/>
      <c r="J373" s="79"/>
      <c r="K373" s="410"/>
      <c r="L373" s="409"/>
      <c r="M373" s="87"/>
      <c r="N373" s="79"/>
      <c r="O373" s="79"/>
      <c r="P373" s="88"/>
      <c r="Q373" s="410"/>
      <c r="R373" s="275"/>
    </row>
    <row r="374" spans="1:18" s="89" customFormat="1" x14ac:dyDescent="0.2">
      <c r="A374" s="275"/>
      <c r="B374" s="409"/>
      <c r="C374" s="63"/>
      <c r="D374" s="94"/>
      <c r="E374" s="7"/>
      <c r="F374" s="241"/>
      <c r="G374" s="252"/>
      <c r="H374" s="32"/>
      <c r="I374" s="253"/>
      <c r="J374" s="79"/>
      <c r="K374" s="410"/>
      <c r="L374" s="409"/>
      <c r="M374" s="87"/>
      <c r="N374" s="79"/>
      <c r="O374" s="79"/>
      <c r="P374" s="88"/>
      <c r="Q374" s="410"/>
      <c r="R374" s="275"/>
    </row>
    <row r="375" spans="1:18" s="89" customFormat="1" ht="15" customHeight="1" x14ac:dyDescent="0.2">
      <c r="A375" s="275"/>
      <c r="B375" s="405"/>
      <c r="C375" s="13"/>
      <c r="D375" s="408" t="s">
        <v>263</v>
      </c>
      <c r="E375" s="95"/>
      <c r="F375" s="84"/>
      <c r="G375" s="85"/>
      <c r="H375" s="406"/>
      <c r="I375" s="53"/>
      <c r="J375" s="53"/>
      <c r="K375" s="407"/>
      <c r="L375" s="405"/>
      <c r="M375" s="87"/>
      <c r="N375" s="79"/>
      <c r="O375" s="79"/>
      <c r="P375" s="88"/>
      <c r="Q375" s="407"/>
      <c r="R375" s="275"/>
    </row>
    <row r="376" spans="1:18" s="89" customFormat="1" ht="15" customHeight="1" x14ac:dyDescent="0.2">
      <c r="A376" s="275"/>
      <c r="B376" s="360"/>
      <c r="C376" s="13">
        <v>1</v>
      </c>
      <c r="D376" s="260" t="s">
        <v>333</v>
      </c>
      <c r="E376" s="18">
        <v>50376.959999999999</v>
      </c>
      <c r="F376" s="241"/>
      <c r="G376" s="52"/>
      <c r="H376" s="242"/>
      <c r="I376" s="243"/>
      <c r="J376" s="146"/>
      <c r="K376" s="361"/>
      <c r="L376" s="360"/>
      <c r="M376" s="87"/>
      <c r="N376" s="79"/>
      <c r="O376" s="79"/>
      <c r="P376" s="88"/>
      <c r="Q376" s="361"/>
      <c r="R376" s="275"/>
    </row>
    <row r="377" spans="1:18" s="89" customFormat="1" x14ac:dyDescent="0.2">
      <c r="A377" s="275"/>
      <c r="B377" s="343"/>
      <c r="C377" s="63"/>
      <c r="D377" s="75" t="s">
        <v>84</v>
      </c>
      <c r="E377" s="77" t="s">
        <v>156</v>
      </c>
      <c r="F377" s="244">
        <f>E376</f>
        <v>50376.959999999999</v>
      </c>
      <c r="G377" s="62">
        <v>1</v>
      </c>
      <c r="H377" s="249">
        <f>+G377*F377</f>
        <v>50376.959999999999</v>
      </c>
      <c r="I377" s="245"/>
      <c r="J377" s="79"/>
      <c r="K377" s="344"/>
      <c r="L377" s="343"/>
      <c r="M377" s="83">
        <f>H377</f>
        <v>50376.959999999999</v>
      </c>
      <c r="N377" s="91"/>
      <c r="O377" s="83"/>
      <c r="P377" s="31"/>
      <c r="Q377" s="344"/>
      <c r="R377" s="275"/>
    </row>
    <row r="378" spans="1:18" s="89" customFormat="1" x14ac:dyDescent="0.2">
      <c r="A378" s="275"/>
      <c r="B378" s="343"/>
      <c r="C378" s="63"/>
      <c r="D378" s="75" t="s">
        <v>77</v>
      </c>
      <c r="E378" s="77" t="s">
        <v>156</v>
      </c>
      <c r="F378" s="244">
        <f>E376</f>
        <v>50376.959999999999</v>
      </c>
      <c r="G378" s="246">
        <v>4</v>
      </c>
      <c r="H378" s="249">
        <f>+G378*F378</f>
        <v>201507.84</v>
      </c>
      <c r="I378" s="245"/>
      <c r="J378" s="79"/>
      <c r="K378" s="344"/>
      <c r="L378" s="343"/>
      <c r="M378" s="83"/>
      <c r="N378" s="91">
        <f>H378</f>
        <v>201507.84</v>
      </c>
      <c r="O378" s="83"/>
      <c r="P378" s="31"/>
      <c r="Q378" s="344"/>
      <c r="R378" s="275"/>
    </row>
    <row r="379" spans="1:18" s="89" customFormat="1" x14ac:dyDescent="0.2">
      <c r="A379" s="275"/>
      <c r="B379" s="343"/>
      <c r="C379" s="63"/>
      <c r="D379" s="75" t="s">
        <v>158</v>
      </c>
      <c r="E379" s="247">
        <v>66</v>
      </c>
      <c r="F379" s="244">
        <f>E376/150*1.5</f>
        <v>503.76960000000003</v>
      </c>
      <c r="G379" s="62">
        <f>+F383</f>
        <v>5</v>
      </c>
      <c r="H379" s="249">
        <f>+G379*F379*E379</f>
        <v>166243.96799999999</v>
      </c>
      <c r="I379" s="245"/>
      <c r="J379" s="79"/>
      <c r="K379" s="344"/>
      <c r="L379" s="343"/>
      <c r="M379" s="83"/>
      <c r="N379" s="91">
        <f>H379</f>
        <v>166243.96799999999</v>
      </c>
      <c r="O379" s="83"/>
      <c r="P379" s="31"/>
      <c r="Q379" s="344"/>
      <c r="R379" s="275"/>
    </row>
    <row r="380" spans="1:18" s="89" customFormat="1" x14ac:dyDescent="0.2">
      <c r="A380" s="275"/>
      <c r="B380" s="343"/>
      <c r="C380" s="63"/>
      <c r="D380" s="75" t="s">
        <v>14</v>
      </c>
      <c r="E380" s="10" t="s">
        <v>119</v>
      </c>
      <c r="F380" s="244">
        <v>0</v>
      </c>
      <c r="G380" s="28">
        <f>$H$3</f>
        <v>80</v>
      </c>
      <c r="H380" s="249">
        <f>+G380*F380</f>
        <v>0</v>
      </c>
      <c r="I380" s="245"/>
      <c r="J380" s="79"/>
      <c r="K380" s="344"/>
      <c r="L380" s="343"/>
      <c r="M380" s="83"/>
      <c r="N380" s="91">
        <f>H380</f>
        <v>0</v>
      </c>
      <c r="O380" s="83"/>
      <c r="P380" s="31"/>
      <c r="Q380" s="344"/>
      <c r="R380" s="275"/>
    </row>
    <row r="381" spans="1:18" s="89" customFormat="1" x14ac:dyDescent="0.2">
      <c r="A381" s="275"/>
      <c r="B381" s="343"/>
      <c r="C381" s="63"/>
      <c r="D381" s="75" t="s">
        <v>16</v>
      </c>
      <c r="E381" s="10" t="s">
        <v>119</v>
      </c>
      <c r="F381" s="244">
        <v>0</v>
      </c>
      <c r="G381" s="28">
        <f>$H$4</f>
        <v>40</v>
      </c>
      <c r="H381" s="249">
        <f>+G381*F381</f>
        <v>0</v>
      </c>
      <c r="I381" s="245"/>
      <c r="J381" s="79"/>
      <c r="K381" s="344"/>
      <c r="L381" s="343"/>
      <c r="M381" s="83"/>
      <c r="N381" s="91">
        <f>H381</f>
        <v>0</v>
      </c>
      <c r="O381" s="83"/>
      <c r="P381" s="31"/>
      <c r="Q381" s="344"/>
      <c r="R381" s="275"/>
    </row>
    <row r="382" spans="1:18" s="89" customFormat="1" x14ac:dyDescent="0.2">
      <c r="A382" s="275"/>
      <c r="B382" s="343"/>
      <c r="C382" s="63"/>
      <c r="D382" s="75" t="s">
        <v>13</v>
      </c>
      <c r="E382" s="77" t="s">
        <v>60</v>
      </c>
      <c r="F382" s="244">
        <f>E376</f>
        <v>50376.959999999999</v>
      </c>
      <c r="G382" s="28">
        <v>0</v>
      </c>
      <c r="H382" s="249">
        <f>+G382*F382</f>
        <v>0</v>
      </c>
      <c r="I382" s="245"/>
      <c r="J382" s="79"/>
      <c r="K382" s="344"/>
      <c r="L382" s="343"/>
      <c r="M382" s="83"/>
      <c r="N382" s="91"/>
      <c r="O382" s="83">
        <f>SUM(H382)</f>
        <v>0</v>
      </c>
      <c r="P382" s="31"/>
      <c r="Q382" s="344"/>
      <c r="R382" s="275"/>
    </row>
    <row r="383" spans="1:18" s="89" customFormat="1" x14ac:dyDescent="0.2">
      <c r="A383" s="275"/>
      <c r="B383" s="343"/>
      <c r="C383" s="63"/>
      <c r="D383" s="75" t="s">
        <v>157</v>
      </c>
      <c r="E383" s="10" t="s">
        <v>117</v>
      </c>
      <c r="F383" s="241">
        <f>+G377+G378+G382</f>
        <v>5</v>
      </c>
      <c r="G383" s="248" t="s">
        <v>143</v>
      </c>
      <c r="H383" s="249">
        <f>SUM(H377:H382)</f>
        <v>418128.76799999998</v>
      </c>
      <c r="I383" s="245"/>
      <c r="J383" s="79"/>
      <c r="K383" s="344"/>
      <c r="L383" s="343"/>
      <c r="M383" s="239"/>
      <c r="N383" s="240"/>
      <c r="O383" s="91"/>
      <c r="P383" s="31"/>
      <c r="Q383" s="344"/>
      <c r="R383" s="275"/>
    </row>
    <row r="384" spans="1:18" s="89" customFormat="1" x14ac:dyDescent="0.2">
      <c r="A384" s="275"/>
      <c r="B384" s="343"/>
      <c r="C384" s="63"/>
      <c r="D384" s="116" t="s">
        <v>142</v>
      </c>
      <c r="E384" s="10" t="s">
        <v>117</v>
      </c>
      <c r="F384" s="244">
        <f>+E376+F379*E379</f>
        <v>83625.753599999996</v>
      </c>
      <c r="G384" s="478"/>
      <c r="H384" s="249">
        <f>+((F384/2)*F383)/6</f>
        <v>34844.063999999998</v>
      </c>
      <c r="I384" s="250"/>
      <c r="J384" s="236"/>
      <c r="K384" s="344"/>
      <c r="L384" s="343"/>
      <c r="M384" s="83"/>
      <c r="N384" s="92"/>
      <c r="O384" s="93">
        <f>H384</f>
        <v>34844.063999999998</v>
      </c>
      <c r="P384" s="88"/>
      <c r="Q384" s="344"/>
      <c r="R384" s="275"/>
    </row>
    <row r="385" spans="1:18" s="89" customFormat="1" x14ac:dyDescent="0.2">
      <c r="A385" s="275"/>
      <c r="B385" s="343"/>
      <c r="C385" s="63"/>
      <c r="D385" s="116" t="s">
        <v>191</v>
      </c>
      <c r="E385" s="244"/>
      <c r="F385" s="244">
        <f>+E376+F379*E379</f>
        <v>83625.753599999996</v>
      </c>
      <c r="G385" s="479"/>
      <c r="H385" s="249">
        <f>+(F385/30)*((F383*30)/20)</f>
        <v>20906.438399999999</v>
      </c>
      <c r="I385" s="251">
        <v>0</v>
      </c>
      <c r="J385" s="93">
        <f>+(H383+H384+H385)*C376</f>
        <v>473879.27039999998</v>
      </c>
      <c r="K385" s="344"/>
      <c r="L385" s="343"/>
      <c r="M385" s="83"/>
      <c r="N385" s="92"/>
      <c r="O385" s="93">
        <f>H385</f>
        <v>20906.438399999999</v>
      </c>
      <c r="P385" s="88"/>
      <c r="Q385" s="344"/>
      <c r="R385" s="275"/>
    </row>
    <row r="386" spans="1:18" s="89" customFormat="1" x14ac:dyDescent="0.2">
      <c r="A386" s="275"/>
      <c r="B386" s="343"/>
      <c r="C386" s="63"/>
      <c r="D386" s="94"/>
      <c r="E386" s="7"/>
      <c r="F386" s="241"/>
      <c r="G386" s="483"/>
      <c r="H386" s="453"/>
      <c r="I386" s="253"/>
      <c r="J386" s="79"/>
      <c r="K386" s="344"/>
      <c r="L386" s="343"/>
      <c r="M386" s="87"/>
      <c r="N386" s="79"/>
      <c r="O386" s="79"/>
      <c r="P386" s="88"/>
      <c r="Q386" s="344"/>
      <c r="R386" s="275"/>
    </row>
    <row r="387" spans="1:18" s="89" customFormat="1" ht="15" customHeight="1" x14ac:dyDescent="0.2">
      <c r="A387" s="275"/>
      <c r="B387" s="360"/>
      <c r="C387" s="13">
        <v>1</v>
      </c>
      <c r="D387" s="260" t="s">
        <v>270</v>
      </c>
      <c r="E387" s="18">
        <v>34474.22</v>
      </c>
      <c r="F387" s="241"/>
      <c r="G387" s="34"/>
      <c r="H387" s="242"/>
      <c r="I387" s="254"/>
      <c r="J387" s="146"/>
      <c r="K387" s="361"/>
      <c r="L387" s="360"/>
      <c r="M387" s="87"/>
      <c r="N387" s="79"/>
      <c r="O387" s="79"/>
      <c r="P387" s="88"/>
      <c r="Q387" s="361"/>
      <c r="R387" s="275"/>
    </row>
    <row r="388" spans="1:18" s="89" customFormat="1" x14ac:dyDescent="0.2">
      <c r="A388" s="275"/>
      <c r="B388" s="343"/>
      <c r="C388" s="63"/>
      <c r="D388" s="75" t="s">
        <v>84</v>
      </c>
      <c r="E388" s="77" t="s">
        <v>156</v>
      </c>
      <c r="F388" s="244">
        <f>E387</f>
        <v>34474.22</v>
      </c>
      <c r="G388" s="62">
        <v>1</v>
      </c>
      <c r="H388" s="249">
        <f>+G388*F388</f>
        <v>34474.22</v>
      </c>
      <c r="I388" s="253"/>
      <c r="J388" s="79"/>
      <c r="K388" s="344"/>
      <c r="L388" s="343"/>
      <c r="M388" s="83">
        <f>H388</f>
        <v>34474.22</v>
      </c>
      <c r="N388" s="91"/>
      <c r="O388" s="83"/>
      <c r="P388" s="31"/>
      <c r="Q388" s="344"/>
      <c r="R388" s="275"/>
    </row>
    <row r="389" spans="1:18" s="89" customFormat="1" x14ac:dyDescent="0.2">
      <c r="A389" s="275"/>
      <c r="B389" s="343"/>
      <c r="C389" s="63"/>
      <c r="D389" s="75" t="s">
        <v>77</v>
      </c>
      <c r="E389" s="77" t="s">
        <v>156</v>
      </c>
      <c r="F389" s="244">
        <f>E387</f>
        <v>34474.22</v>
      </c>
      <c r="G389" s="246">
        <v>4</v>
      </c>
      <c r="H389" s="249">
        <f>+G389*F389</f>
        <v>137896.88</v>
      </c>
      <c r="I389" s="253"/>
      <c r="J389" s="79"/>
      <c r="K389" s="344"/>
      <c r="L389" s="343"/>
      <c r="M389" s="83"/>
      <c r="N389" s="91">
        <f>H389</f>
        <v>137896.88</v>
      </c>
      <c r="O389" s="83"/>
      <c r="P389" s="31"/>
      <c r="Q389" s="344"/>
      <c r="R389" s="275"/>
    </row>
    <row r="390" spans="1:18" s="89" customFormat="1" x14ac:dyDescent="0.2">
      <c r="A390" s="275"/>
      <c r="B390" s="343"/>
      <c r="C390" s="63"/>
      <c r="D390" s="75" t="s">
        <v>158</v>
      </c>
      <c r="E390" s="247">
        <v>66</v>
      </c>
      <c r="F390" s="244">
        <f>E387/150*1.5</f>
        <v>344.74220000000003</v>
      </c>
      <c r="G390" s="62">
        <f>+F394</f>
        <v>5</v>
      </c>
      <c r="H390" s="249">
        <f>+G390*F390*E390</f>
        <v>113764.92600000002</v>
      </c>
      <c r="I390" s="253"/>
      <c r="J390" s="79"/>
      <c r="K390" s="344"/>
      <c r="L390" s="343"/>
      <c r="M390" s="83"/>
      <c r="N390" s="91">
        <f>H390</f>
        <v>113764.92600000002</v>
      </c>
      <c r="O390" s="83"/>
      <c r="P390" s="31"/>
      <c r="Q390" s="344"/>
      <c r="R390" s="275"/>
    </row>
    <row r="391" spans="1:18" s="89" customFormat="1" x14ac:dyDescent="0.2">
      <c r="A391" s="275"/>
      <c r="B391" s="343"/>
      <c r="C391" s="63"/>
      <c r="D391" s="75" t="s">
        <v>14</v>
      </c>
      <c r="E391" s="10" t="s">
        <v>119</v>
      </c>
      <c r="F391" s="244">
        <v>0</v>
      </c>
      <c r="G391" s="28">
        <f>$H$3</f>
        <v>80</v>
      </c>
      <c r="H391" s="249">
        <f>+G391*F391</f>
        <v>0</v>
      </c>
      <c r="I391" s="253"/>
      <c r="J391" s="79"/>
      <c r="K391" s="344"/>
      <c r="L391" s="343"/>
      <c r="M391" s="83"/>
      <c r="N391" s="91">
        <f>H391</f>
        <v>0</v>
      </c>
      <c r="O391" s="83"/>
      <c r="P391" s="31"/>
      <c r="Q391" s="344"/>
      <c r="R391" s="275"/>
    </row>
    <row r="392" spans="1:18" s="89" customFormat="1" x14ac:dyDescent="0.2">
      <c r="A392" s="275"/>
      <c r="B392" s="343"/>
      <c r="C392" s="63"/>
      <c r="D392" s="75" t="s">
        <v>16</v>
      </c>
      <c r="E392" s="10" t="s">
        <v>119</v>
      </c>
      <c r="F392" s="244">
        <v>0</v>
      </c>
      <c r="G392" s="28">
        <f>$H$4</f>
        <v>40</v>
      </c>
      <c r="H392" s="249">
        <f>+G392*F392</f>
        <v>0</v>
      </c>
      <c r="I392" s="253"/>
      <c r="J392" s="79"/>
      <c r="K392" s="344"/>
      <c r="L392" s="343"/>
      <c r="M392" s="83"/>
      <c r="N392" s="91">
        <f>H392</f>
        <v>0</v>
      </c>
      <c r="O392" s="83"/>
      <c r="P392" s="31"/>
      <c r="Q392" s="344"/>
      <c r="R392" s="275"/>
    </row>
    <row r="393" spans="1:18" s="89" customFormat="1" x14ac:dyDescent="0.2">
      <c r="A393" s="275"/>
      <c r="B393" s="343"/>
      <c r="C393" s="63"/>
      <c r="D393" s="75" t="s">
        <v>13</v>
      </c>
      <c r="E393" s="77" t="s">
        <v>60</v>
      </c>
      <c r="F393" s="474">
        <f>E387</f>
        <v>34474.22</v>
      </c>
      <c r="G393" s="249">
        <v>0</v>
      </c>
      <c r="H393" s="249">
        <f>+G393*F393</f>
        <v>0</v>
      </c>
      <c r="I393" s="253"/>
      <c r="J393" s="79"/>
      <c r="K393" s="344"/>
      <c r="L393" s="343"/>
      <c r="M393" s="83"/>
      <c r="N393" s="91"/>
      <c r="O393" s="83">
        <f>SUM(H393)</f>
        <v>0</v>
      </c>
      <c r="P393" s="31"/>
      <c r="Q393" s="344"/>
      <c r="R393" s="275"/>
    </row>
    <row r="394" spans="1:18" s="89" customFormat="1" x14ac:dyDescent="0.2">
      <c r="A394" s="275"/>
      <c r="B394" s="343"/>
      <c r="C394" s="63"/>
      <c r="D394" s="75" t="s">
        <v>157</v>
      </c>
      <c r="E394" s="10" t="s">
        <v>117</v>
      </c>
      <c r="F394" s="486">
        <f>+G388+G389+G393</f>
        <v>5</v>
      </c>
      <c r="G394" s="248" t="s">
        <v>143</v>
      </c>
      <c r="H394" s="249">
        <f>SUM(H388:H393)</f>
        <v>286136.02600000001</v>
      </c>
      <c r="I394" s="245"/>
      <c r="J394" s="79"/>
      <c r="K394" s="344"/>
      <c r="L394" s="343"/>
      <c r="M394" s="239"/>
      <c r="N394" s="240"/>
      <c r="O394" s="91"/>
      <c r="P394" s="31"/>
      <c r="Q394" s="344"/>
      <c r="R394" s="275"/>
    </row>
    <row r="395" spans="1:18" s="89" customFormat="1" x14ac:dyDescent="0.2">
      <c r="A395" s="275"/>
      <c r="B395" s="343"/>
      <c r="C395" s="63"/>
      <c r="D395" s="116" t="s">
        <v>142</v>
      </c>
      <c r="E395" s="10" t="s">
        <v>117</v>
      </c>
      <c r="F395" s="474">
        <f>+E387+F390*E390</f>
        <v>57227.205200000004</v>
      </c>
      <c r="G395" s="478"/>
      <c r="H395" s="249">
        <f>+((F395/2)*F394)/6</f>
        <v>23844.668833333333</v>
      </c>
      <c r="I395" s="250"/>
      <c r="J395" s="236"/>
      <c r="K395" s="344"/>
      <c r="L395" s="343"/>
      <c r="M395" s="83"/>
      <c r="N395" s="92"/>
      <c r="O395" s="93">
        <f>H395</f>
        <v>23844.668833333333</v>
      </c>
      <c r="P395" s="88"/>
      <c r="Q395" s="344"/>
      <c r="R395" s="275"/>
    </row>
    <row r="396" spans="1:18" s="89" customFormat="1" x14ac:dyDescent="0.2">
      <c r="A396" s="275"/>
      <c r="B396" s="343"/>
      <c r="C396" s="63"/>
      <c r="D396" s="116" t="s">
        <v>191</v>
      </c>
      <c r="E396" s="244"/>
      <c r="F396" s="474">
        <f>+E387+F390*E390</f>
        <v>57227.205200000004</v>
      </c>
      <c r="G396" s="479"/>
      <c r="H396" s="249">
        <f>+(F396/30)*((F394*30)/20)</f>
        <v>14306.801300000001</v>
      </c>
      <c r="I396" s="251">
        <v>0</v>
      </c>
      <c r="J396" s="93">
        <f>+(H394+H395+H396)*C387</f>
        <v>324287.49613333336</v>
      </c>
      <c r="K396" s="344"/>
      <c r="L396" s="343"/>
      <c r="M396" s="83"/>
      <c r="N396" s="92"/>
      <c r="O396" s="93">
        <f>H396</f>
        <v>14306.801300000001</v>
      </c>
      <c r="P396" s="88"/>
      <c r="Q396" s="344"/>
      <c r="R396" s="275"/>
    </row>
    <row r="397" spans="1:18" s="89" customFormat="1" x14ac:dyDescent="0.2">
      <c r="A397" s="275"/>
      <c r="B397" s="343"/>
      <c r="C397" s="63"/>
      <c r="D397" s="94"/>
      <c r="E397" s="7"/>
      <c r="F397" s="486"/>
      <c r="G397" s="483"/>
      <c r="H397" s="453"/>
      <c r="I397" s="253"/>
      <c r="J397" s="79"/>
      <c r="K397" s="344"/>
      <c r="L397" s="343"/>
      <c r="M397" s="87"/>
      <c r="N397" s="79"/>
      <c r="O397" s="79"/>
      <c r="P397" s="88"/>
      <c r="Q397" s="344"/>
      <c r="R397" s="275"/>
    </row>
    <row r="398" spans="1:18" s="89" customFormat="1" ht="15" customHeight="1" x14ac:dyDescent="0.2">
      <c r="A398" s="275"/>
      <c r="B398" s="360"/>
      <c r="C398" s="13">
        <v>1</v>
      </c>
      <c r="D398" s="260" t="s">
        <v>164</v>
      </c>
      <c r="E398" s="18">
        <v>43881.8</v>
      </c>
      <c r="F398" s="486"/>
      <c r="G398" s="480"/>
      <c r="H398" s="481"/>
      <c r="I398" s="254"/>
      <c r="J398" s="146"/>
      <c r="K398" s="361"/>
      <c r="L398" s="360"/>
      <c r="M398" s="87"/>
      <c r="N398" s="79"/>
      <c r="O398" s="79"/>
      <c r="P398" s="88"/>
      <c r="Q398" s="361"/>
      <c r="R398" s="275"/>
    </row>
    <row r="399" spans="1:18" s="89" customFormat="1" x14ac:dyDescent="0.2">
      <c r="A399" s="275"/>
      <c r="B399" s="343"/>
      <c r="C399" s="63"/>
      <c r="D399" s="75" t="s">
        <v>84</v>
      </c>
      <c r="E399" s="77" t="s">
        <v>156</v>
      </c>
      <c r="F399" s="474">
        <f>E398</f>
        <v>43881.8</v>
      </c>
      <c r="G399" s="482">
        <v>0.5</v>
      </c>
      <c r="H399" s="249">
        <f>+G399*F399</f>
        <v>21940.9</v>
      </c>
      <c r="I399" s="253"/>
      <c r="J399" s="79"/>
      <c r="K399" s="344"/>
      <c r="L399" s="343"/>
      <c r="M399" s="83">
        <f>H399</f>
        <v>21940.9</v>
      </c>
      <c r="N399" s="91"/>
      <c r="O399" s="83"/>
      <c r="P399" s="31"/>
      <c r="Q399" s="344"/>
      <c r="R399" s="275"/>
    </row>
    <row r="400" spans="1:18" s="89" customFormat="1" x14ac:dyDescent="0.2">
      <c r="A400" s="275"/>
      <c r="B400" s="343"/>
      <c r="C400" s="63"/>
      <c r="D400" s="75" t="s">
        <v>77</v>
      </c>
      <c r="E400" s="77" t="s">
        <v>156</v>
      </c>
      <c r="F400" s="474">
        <f>E398</f>
        <v>43881.8</v>
      </c>
      <c r="G400" s="496">
        <v>4</v>
      </c>
      <c r="H400" s="249">
        <f>+G400*F400</f>
        <v>175527.2</v>
      </c>
      <c r="I400" s="253"/>
      <c r="J400" s="79"/>
      <c r="K400" s="344"/>
      <c r="L400" s="343"/>
      <c r="M400" s="83"/>
      <c r="N400" s="91">
        <f>H400</f>
        <v>175527.2</v>
      </c>
      <c r="O400" s="83"/>
      <c r="P400" s="31"/>
      <c r="Q400" s="344"/>
      <c r="R400" s="275"/>
    </row>
    <row r="401" spans="1:18" s="89" customFormat="1" x14ac:dyDescent="0.2">
      <c r="A401" s="275"/>
      <c r="B401" s="343"/>
      <c r="C401" s="63"/>
      <c r="D401" s="75" t="s">
        <v>158</v>
      </c>
      <c r="E401" s="247">
        <v>66</v>
      </c>
      <c r="F401" s="474">
        <f>E398/150*1.5</f>
        <v>438.81800000000004</v>
      </c>
      <c r="G401" s="482">
        <f>+F405</f>
        <v>4.5</v>
      </c>
      <c r="H401" s="249">
        <f>+G401*F401*E401</f>
        <v>130328.94600000001</v>
      </c>
      <c r="I401" s="253"/>
      <c r="J401" s="79"/>
      <c r="K401" s="344"/>
      <c r="L401" s="343"/>
      <c r="M401" s="83"/>
      <c r="N401" s="91">
        <f>H401</f>
        <v>130328.94600000001</v>
      </c>
      <c r="O401" s="83"/>
      <c r="P401" s="31"/>
      <c r="Q401" s="344"/>
      <c r="R401" s="275"/>
    </row>
    <row r="402" spans="1:18" s="89" customFormat="1" x14ac:dyDescent="0.2">
      <c r="A402" s="275"/>
      <c r="B402" s="343"/>
      <c r="C402" s="63"/>
      <c r="D402" s="75" t="s">
        <v>14</v>
      </c>
      <c r="E402" s="10" t="s">
        <v>119</v>
      </c>
      <c r="F402" s="474">
        <v>0</v>
      </c>
      <c r="G402" s="249">
        <f>$H$3</f>
        <v>80</v>
      </c>
      <c r="H402" s="249">
        <f>+G402*F402</f>
        <v>0</v>
      </c>
      <c r="I402" s="253"/>
      <c r="J402" s="79"/>
      <c r="K402" s="344"/>
      <c r="L402" s="343"/>
      <c r="M402" s="83"/>
      <c r="N402" s="91">
        <f>H402</f>
        <v>0</v>
      </c>
      <c r="O402" s="83"/>
      <c r="P402" s="31"/>
      <c r="Q402" s="344"/>
      <c r="R402" s="275"/>
    </row>
    <row r="403" spans="1:18" s="89" customFormat="1" x14ac:dyDescent="0.2">
      <c r="A403" s="275"/>
      <c r="B403" s="343"/>
      <c r="C403" s="63"/>
      <c r="D403" s="75" t="s">
        <v>16</v>
      </c>
      <c r="E403" s="10" t="s">
        <v>119</v>
      </c>
      <c r="F403" s="474">
        <v>0</v>
      </c>
      <c r="G403" s="249">
        <f>$H$4</f>
        <v>40</v>
      </c>
      <c r="H403" s="249">
        <f>+G403*F403</f>
        <v>0</v>
      </c>
      <c r="I403" s="253"/>
      <c r="J403" s="79"/>
      <c r="K403" s="344"/>
      <c r="L403" s="343"/>
      <c r="M403" s="83"/>
      <c r="N403" s="91">
        <f>H403</f>
        <v>0</v>
      </c>
      <c r="O403" s="83"/>
      <c r="P403" s="31"/>
      <c r="Q403" s="344"/>
      <c r="R403" s="275"/>
    </row>
    <row r="404" spans="1:18" s="89" customFormat="1" x14ac:dyDescent="0.2">
      <c r="A404" s="275"/>
      <c r="B404" s="343"/>
      <c r="C404" s="63"/>
      <c r="D404" s="75" t="s">
        <v>13</v>
      </c>
      <c r="E404" s="77" t="s">
        <v>60</v>
      </c>
      <c r="F404" s="474">
        <f>E398</f>
        <v>43881.8</v>
      </c>
      <c r="G404" s="249">
        <v>0</v>
      </c>
      <c r="H404" s="249">
        <f>+G404*F404</f>
        <v>0</v>
      </c>
      <c r="I404" s="253"/>
      <c r="J404" s="79"/>
      <c r="K404" s="344"/>
      <c r="L404" s="343"/>
      <c r="M404" s="83"/>
      <c r="N404" s="91"/>
      <c r="O404" s="83">
        <f>SUM(H404)</f>
        <v>0</v>
      </c>
      <c r="P404" s="31"/>
      <c r="Q404" s="344"/>
      <c r="R404" s="275"/>
    </row>
    <row r="405" spans="1:18" s="89" customFormat="1" x14ac:dyDescent="0.2">
      <c r="A405" s="275"/>
      <c r="B405" s="343"/>
      <c r="C405" s="63"/>
      <c r="D405" s="75" t="s">
        <v>157</v>
      </c>
      <c r="E405" s="10" t="s">
        <v>117</v>
      </c>
      <c r="F405" s="486">
        <f>+G399+G400+G404</f>
        <v>4.5</v>
      </c>
      <c r="G405" s="248" t="s">
        <v>143</v>
      </c>
      <c r="H405" s="249">
        <f>SUM(H399:H404)</f>
        <v>327797.04600000003</v>
      </c>
      <c r="I405" s="245"/>
      <c r="J405" s="79"/>
      <c r="K405" s="344"/>
      <c r="L405" s="343"/>
      <c r="M405" s="239"/>
      <c r="N405" s="240"/>
      <c r="O405" s="91"/>
      <c r="P405" s="31"/>
      <c r="Q405" s="344"/>
      <c r="R405" s="275"/>
    </row>
    <row r="406" spans="1:18" s="89" customFormat="1" x14ac:dyDescent="0.2">
      <c r="A406" s="275"/>
      <c r="B406" s="343"/>
      <c r="C406" s="63"/>
      <c r="D406" s="116" t="s">
        <v>142</v>
      </c>
      <c r="E406" s="10" t="s">
        <v>117</v>
      </c>
      <c r="F406" s="474">
        <f>+E398+F401*E401</f>
        <v>72843.788</v>
      </c>
      <c r="G406" s="478"/>
      <c r="H406" s="249">
        <f>+((F406/2)*F405)/6</f>
        <v>27316.420499999997</v>
      </c>
      <c r="I406" s="250"/>
      <c r="J406" s="236"/>
      <c r="K406" s="344"/>
      <c r="L406" s="343"/>
      <c r="M406" s="83"/>
      <c r="N406" s="92"/>
      <c r="O406" s="93">
        <f>H406</f>
        <v>27316.420499999997</v>
      </c>
      <c r="P406" s="88"/>
      <c r="Q406" s="344"/>
      <c r="R406" s="275"/>
    </row>
    <row r="407" spans="1:18" s="89" customFormat="1" x14ac:dyDescent="0.2">
      <c r="A407" s="275"/>
      <c r="B407" s="343"/>
      <c r="C407" s="63"/>
      <c r="D407" s="116" t="s">
        <v>191</v>
      </c>
      <c r="E407" s="244"/>
      <c r="F407" s="474">
        <f>+E398+F401*E401</f>
        <v>72843.788</v>
      </c>
      <c r="G407" s="479"/>
      <c r="H407" s="249">
        <f>+(F407/30)*((F405*30)/20)</f>
        <v>16389.852299999999</v>
      </c>
      <c r="I407" s="251">
        <v>0</v>
      </c>
      <c r="J407" s="93">
        <f>+(H405+H406+H407)*C398</f>
        <v>371503.31880000001</v>
      </c>
      <c r="K407" s="344"/>
      <c r="L407" s="343"/>
      <c r="M407" s="83"/>
      <c r="N407" s="92"/>
      <c r="O407" s="93">
        <f>H407</f>
        <v>16389.852299999999</v>
      </c>
      <c r="P407" s="88"/>
      <c r="Q407" s="344"/>
      <c r="R407" s="275"/>
    </row>
    <row r="408" spans="1:18" s="89" customFormat="1" x14ac:dyDescent="0.2">
      <c r="A408" s="275"/>
      <c r="B408" s="343"/>
      <c r="C408" s="63"/>
      <c r="D408" s="94"/>
      <c r="E408" s="7"/>
      <c r="F408" s="486"/>
      <c r="G408" s="483"/>
      <c r="H408" s="453"/>
      <c r="I408" s="253"/>
      <c r="J408" s="79"/>
      <c r="K408" s="344"/>
      <c r="L408" s="343"/>
      <c r="M408" s="87"/>
      <c r="N408" s="79"/>
      <c r="O408" s="79"/>
      <c r="P408" s="88"/>
      <c r="Q408" s="344"/>
      <c r="R408" s="275"/>
    </row>
    <row r="409" spans="1:18" s="89" customFormat="1" ht="15" customHeight="1" x14ac:dyDescent="0.2">
      <c r="A409" s="275"/>
      <c r="B409" s="360"/>
      <c r="C409" s="13">
        <v>1</v>
      </c>
      <c r="D409" s="260" t="s">
        <v>165</v>
      </c>
      <c r="E409" s="18">
        <v>37371.11</v>
      </c>
      <c r="F409" s="241"/>
      <c r="G409" s="34"/>
      <c r="H409" s="242"/>
      <c r="I409" s="254"/>
      <c r="J409" s="146"/>
      <c r="K409" s="361"/>
      <c r="L409" s="360"/>
      <c r="M409" s="87"/>
      <c r="N409" s="79"/>
      <c r="O409" s="79"/>
      <c r="P409" s="88"/>
      <c r="Q409" s="361"/>
      <c r="R409" s="275"/>
    </row>
    <row r="410" spans="1:18" s="89" customFormat="1" x14ac:dyDescent="0.2">
      <c r="A410" s="275"/>
      <c r="B410" s="343"/>
      <c r="C410" s="63"/>
      <c r="D410" s="75" t="s">
        <v>84</v>
      </c>
      <c r="E410" s="77" t="s">
        <v>156</v>
      </c>
      <c r="F410" s="244">
        <f>E409</f>
        <v>37371.11</v>
      </c>
      <c r="G410" s="62">
        <v>0.5</v>
      </c>
      <c r="H410" s="249">
        <f>+G410*F410</f>
        <v>18685.555</v>
      </c>
      <c r="I410" s="253"/>
      <c r="J410" s="79"/>
      <c r="K410" s="344"/>
      <c r="L410" s="343"/>
      <c r="M410" s="83">
        <f>H410</f>
        <v>18685.555</v>
      </c>
      <c r="N410" s="91"/>
      <c r="O410" s="83"/>
      <c r="P410" s="31"/>
      <c r="Q410" s="344"/>
      <c r="R410" s="275"/>
    </row>
    <row r="411" spans="1:18" s="89" customFormat="1" x14ac:dyDescent="0.2">
      <c r="A411" s="275"/>
      <c r="B411" s="343"/>
      <c r="C411" s="63"/>
      <c r="D411" s="75" t="s">
        <v>77</v>
      </c>
      <c r="E411" s="77" t="s">
        <v>156</v>
      </c>
      <c r="F411" s="244">
        <f>E409</f>
        <v>37371.11</v>
      </c>
      <c r="G411" s="246">
        <v>4</v>
      </c>
      <c r="H411" s="249">
        <f>+G411*F411</f>
        <v>149484.44</v>
      </c>
      <c r="I411" s="253"/>
      <c r="J411" s="79"/>
      <c r="K411" s="344"/>
      <c r="L411" s="343"/>
      <c r="M411" s="83"/>
      <c r="N411" s="91">
        <f>H411</f>
        <v>149484.44</v>
      </c>
      <c r="O411" s="83"/>
      <c r="P411" s="31"/>
      <c r="Q411" s="344"/>
      <c r="R411" s="275"/>
    </row>
    <row r="412" spans="1:18" s="89" customFormat="1" x14ac:dyDescent="0.2">
      <c r="A412" s="275"/>
      <c r="B412" s="343"/>
      <c r="C412" s="63"/>
      <c r="D412" s="75" t="s">
        <v>158</v>
      </c>
      <c r="E412" s="247">
        <v>66</v>
      </c>
      <c r="F412" s="244">
        <f>E409/150*1.5</f>
        <v>373.71109999999999</v>
      </c>
      <c r="G412" s="62">
        <f>+F416</f>
        <v>4.5</v>
      </c>
      <c r="H412" s="249">
        <f>+G412*F412*E412</f>
        <v>110992.1967</v>
      </c>
      <c r="I412" s="253"/>
      <c r="J412" s="79"/>
      <c r="K412" s="344"/>
      <c r="L412" s="343"/>
      <c r="M412" s="83"/>
      <c r="N412" s="91">
        <f>H412</f>
        <v>110992.1967</v>
      </c>
      <c r="O412" s="83"/>
      <c r="P412" s="31"/>
      <c r="Q412" s="344"/>
      <c r="R412" s="275"/>
    </row>
    <row r="413" spans="1:18" s="89" customFormat="1" x14ac:dyDescent="0.2">
      <c r="A413" s="275"/>
      <c r="B413" s="343"/>
      <c r="C413" s="63"/>
      <c r="D413" s="75" t="s">
        <v>14</v>
      </c>
      <c r="E413" s="10" t="s">
        <v>119</v>
      </c>
      <c r="F413" s="244">
        <v>0</v>
      </c>
      <c r="G413" s="28">
        <f>$H$3</f>
        <v>80</v>
      </c>
      <c r="H413" s="249">
        <f>+G413*F413</f>
        <v>0</v>
      </c>
      <c r="I413" s="253"/>
      <c r="J413" s="79"/>
      <c r="K413" s="344"/>
      <c r="L413" s="343"/>
      <c r="M413" s="83"/>
      <c r="N413" s="91">
        <f>H413</f>
        <v>0</v>
      </c>
      <c r="O413" s="83"/>
      <c r="P413" s="31"/>
      <c r="Q413" s="344"/>
      <c r="R413" s="275"/>
    </row>
    <row r="414" spans="1:18" s="89" customFormat="1" x14ac:dyDescent="0.2">
      <c r="A414" s="275"/>
      <c r="B414" s="343"/>
      <c r="C414" s="63"/>
      <c r="D414" s="75" t="s">
        <v>16</v>
      </c>
      <c r="E414" s="10" t="s">
        <v>119</v>
      </c>
      <c r="F414" s="244">
        <v>0</v>
      </c>
      <c r="G414" s="28">
        <f>$H$4</f>
        <v>40</v>
      </c>
      <c r="H414" s="249">
        <f>+G414*F414</f>
        <v>0</v>
      </c>
      <c r="I414" s="253"/>
      <c r="J414" s="79"/>
      <c r="K414" s="344"/>
      <c r="L414" s="343"/>
      <c r="M414" s="83"/>
      <c r="N414" s="91">
        <f>H414</f>
        <v>0</v>
      </c>
      <c r="O414" s="83"/>
      <c r="P414" s="31"/>
      <c r="Q414" s="344"/>
      <c r="R414" s="275"/>
    </row>
    <row r="415" spans="1:18" s="89" customFormat="1" x14ac:dyDescent="0.2">
      <c r="A415" s="275"/>
      <c r="B415" s="343"/>
      <c r="C415" s="63"/>
      <c r="D415" s="469" t="s">
        <v>13</v>
      </c>
      <c r="E415" s="493" t="s">
        <v>60</v>
      </c>
      <c r="F415" s="474">
        <f>E409</f>
        <v>37371.11</v>
      </c>
      <c r="G415" s="249">
        <v>0</v>
      </c>
      <c r="H415" s="249">
        <f>+G415*F415</f>
        <v>0</v>
      </c>
      <c r="I415" s="253"/>
      <c r="J415" s="79"/>
      <c r="K415" s="344"/>
      <c r="L415" s="343"/>
      <c r="M415" s="83"/>
      <c r="N415" s="91"/>
      <c r="O415" s="83">
        <f>SUM(H415)</f>
        <v>0</v>
      </c>
      <c r="P415" s="31"/>
      <c r="Q415" s="344"/>
      <c r="R415" s="275"/>
    </row>
    <row r="416" spans="1:18" s="89" customFormat="1" x14ac:dyDescent="0.2">
      <c r="A416" s="275"/>
      <c r="B416" s="343"/>
      <c r="C416" s="63"/>
      <c r="D416" s="469" t="s">
        <v>157</v>
      </c>
      <c r="E416" s="494" t="s">
        <v>117</v>
      </c>
      <c r="F416" s="486">
        <f>+G410+G411+G415</f>
        <v>4.5</v>
      </c>
      <c r="G416" s="248" t="s">
        <v>143</v>
      </c>
      <c r="H416" s="249">
        <f>SUM(H410:H415)</f>
        <v>279162.19169999997</v>
      </c>
      <c r="I416" s="245"/>
      <c r="J416" s="79"/>
      <c r="K416" s="344"/>
      <c r="L416" s="343"/>
      <c r="M416" s="239"/>
      <c r="N416" s="240"/>
      <c r="O416" s="91"/>
      <c r="P416" s="31"/>
      <c r="Q416" s="344"/>
      <c r="R416" s="275"/>
    </row>
    <row r="417" spans="1:18" s="89" customFormat="1" x14ac:dyDescent="0.2">
      <c r="A417" s="275"/>
      <c r="B417" s="343"/>
      <c r="C417" s="63"/>
      <c r="D417" s="487" t="s">
        <v>142</v>
      </c>
      <c r="E417" s="494" t="s">
        <v>117</v>
      </c>
      <c r="F417" s="474">
        <f>+E409+F412*E412</f>
        <v>62036.042600000001</v>
      </c>
      <c r="G417" s="478"/>
      <c r="H417" s="249">
        <f>+((F417/2)*F416)/6</f>
        <v>23263.515975000002</v>
      </c>
      <c r="I417" s="250"/>
      <c r="J417" s="236"/>
      <c r="K417" s="344"/>
      <c r="L417" s="343"/>
      <c r="M417" s="83"/>
      <c r="N417" s="92"/>
      <c r="O417" s="93">
        <f>H417</f>
        <v>23263.515975000002</v>
      </c>
      <c r="P417" s="88"/>
      <c r="Q417" s="344"/>
      <c r="R417" s="275"/>
    </row>
    <row r="418" spans="1:18" s="89" customFormat="1" x14ac:dyDescent="0.2">
      <c r="A418" s="275"/>
      <c r="B418" s="343"/>
      <c r="C418" s="63"/>
      <c r="D418" s="487" t="s">
        <v>191</v>
      </c>
      <c r="E418" s="474"/>
      <c r="F418" s="474">
        <f>+E409+F412*E412</f>
        <v>62036.042600000001</v>
      </c>
      <c r="G418" s="479"/>
      <c r="H418" s="249">
        <f>+(F418/30)*((F416*30)/20)</f>
        <v>13958.109585000002</v>
      </c>
      <c r="I418" s="251">
        <v>0</v>
      </c>
      <c r="J418" s="93">
        <f>+(H416+H417+H418)*C409</f>
        <v>316383.81725999998</v>
      </c>
      <c r="K418" s="344"/>
      <c r="L418" s="343"/>
      <c r="M418" s="83"/>
      <c r="N418" s="92"/>
      <c r="O418" s="93">
        <f>H418</f>
        <v>13958.109585000002</v>
      </c>
      <c r="P418" s="88"/>
      <c r="Q418" s="344"/>
      <c r="R418" s="275"/>
    </row>
    <row r="419" spans="1:18" s="89" customFormat="1" x14ac:dyDescent="0.2">
      <c r="A419" s="275"/>
      <c r="B419" s="343"/>
      <c r="C419" s="63"/>
      <c r="D419" s="488"/>
      <c r="E419" s="492"/>
      <c r="F419" s="486"/>
      <c r="G419" s="483"/>
      <c r="H419" s="453"/>
      <c r="I419" s="253"/>
      <c r="J419" s="79"/>
      <c r="K419" s="344"/>
      <c r="L419" s="343"/>
      <c r="M419" s="87"/>
      <c r="N419" s="79"/>
      <c r="O419" s="79"/>
      <c r="P419" s="88"/>
      <c r="Q419" s="344"/>
      <c r="R419" s="275"/>
    </row>
    <row r="420" spans="1:18" s="89" customFormat="1" ht="15" customHeight="1" x14ac:dyDescent="0.2">
      <c r="A420" s="275"/>
      <c r="B420" s="360"/>
      <c r="C420" s="13">
        <v>1</v>
      </c>
      <c r="D420" s="264" t="s">
        <v>334</v>
      </c>
      <c r="E420" s="489">
        <v>50376.959999999999</v>
      </c>
      <c r="F420" s="486"/>
      <c r="G420" s="495"/>
      <c r="H420" s="481"/>
      <c r="I420" s="243"/>
      <c r="J420" s="146"/>
      <c r="K420" s="361"/>
      <c r="L420" s="360"/>
      <c r="M420" s="87"/>
      <c r="N420" s="79"/>
      <c r="O420" s="79"/>
      <c r="P420" s="88"/>
      <c r="Q420" s="361"/>
      <c r="R420" s="275"/>
    </row>
    <row r="421" spans="1:18" s="89" customFormat="1" x14ac:dyDescent="0.2">
      <c r="A421" s="275"/>
      <c r="B421" s="343"/>
      <c r="C421" s="63"/>
      <c r="D421" s="469" t="s">
        <v>84</v>
      </c>
      <c r="E421" s="493" t="s">
        <v>156</v>
      </c>
      <c r="F421" s="474">
        <f>E420</f>
        <v>50376.959999999999</v>
      </c>
      <c r="G421" s="482">
        <v>1.5</v>
      </c>
      <c r="H421" s="249">
        <f>+G421*F421</f>
        <v>75565.440000000002</v>
      </c>
      <c r="I421" s="245"/>
      <c r="J421" s="79"/>
      <c r="K421" s="344"/>
      <c r="L421" s="343"/>
      <c r="M421" s="83">
        <f>H421</f>
        <v>75565.440000000002</v>
      </c>
      <c r="N421" s="91"/>
      <c r="O421" s="83"/>
      <c r="P421" s="31"/>
      <c r="Q421" s="344"/>
      <c r="R421" s="275"/>
    </row>
    <row r="422" spans="1:18" s="89" customFormat="1" x14ac:dyDescent="0.2">
      <c r="A422" s="275"/>
      <c r="B422" s="343"/>
      <c r="C422" s="63"/>
      <c r="D422" s="469" t="s">
        <v>77</v>
      </c>
      <c r="E422" s="493" t="s">
        <v>156</v>
      </c>
      <c r="F422" s="474">
        <f>E420</f>
        <v>50376.959999999999</v>
      </c>
      <c r="G422" s="482">
        <v>4</v>
      </c>
      <c r="H422" s="249">
        <f>+G422*F422</f>
        <v>201507.84</v>
      </c>
      <c r="I422" s="245"/>
      <c r="J422" s="79"/>
      <c r="K422" s="344"/>
      <c r="L422" s="343"/>
      <c r="M422" s="83"/>
      <c r="N422" s="91">
        <f>H422</f>
        <v>201507.84</v>
      </c>
      <c r="O422" s="83"/>
      <c r="P422" s="31"/>
      <c r="Q422" s="344"/>
      <c r="R422" s="275"/>
    </row>
    <row r="423" spans="1:18" s="89" customFormat="1" x14ac:dyDescent="0.2">
      <c r="A423" s="275"/>
      <c r="B423" s="343"/>
      <c r="C423" s="63"/>
      <c r="D423" s="469" t="s">
        <v>158</v>
      </c>
      <c r="E423" s="247">
        <v>66</v>
      </c>
      <c r="F423" s="474">
        <f>E420/150*1.5</f>
        <v>503.76960000000003</v>
      </c>
      <c r="G423" s="482">
        <f>+F427</f>
        <v>5.5</v>
      </c>
      <c r="H423" s="249">
        <f>+G423*F423*E423</f>
        <v>182868.36480000001</v>
      </c>
      <c r="I423" s="245"/>
      <c r="J423" s="79"/>
      <c r="K423" s="344"/>
      <c r="L423" s="343"/>
      <c r="M423" s="83"/>
      <c r="N423" s="91">
        <f>H423</f>
        <v>182868.36480000001</v>
      </c>
      <c r="O423" s="83"/>
      <c r="P423" s="31"/>
      <c r="Q423" s="344"/>
      <c r="R423" s="275"/>
    </row>
    <row r="424" spans="1:18" s="89" customFormat="1" x14ac:dyDescent="0.2">
      <c r="A424" s="275"/>
      <c r="B424" s="343"/>
      <c r="C424" s="63"/>
      <c r="D424" s="469" t="s">
        <v>14</v>
      </c>
      <c r="E424" s="494" t="s">
        <v>119</v>
      </c>
      <c r="F424" s="474">
        <v>0</v>
      </c>
      <c r="G424" s="249">
        <f>$H$3</f>
        <v>80</v>
      </c>
      <c r="H424" s="249">
        <f>+G424*F424</f>
        <v>0</v>
      </c>
      <c r="I424" s="245"/>
      <c r="J424" s="79"/>
      <c r="K424" s="344"/>
      <c r="L424" s="343"/>
      <c r="M424" s="83"/>
      <c r="N424" s="91">
        <f>H424</f>
        <v>0</v>
      </c>
      <c r="O424" s="83"/>
      <c r="P424" s="31"/>
      <c r="Q424" s="344"/>
      <c r="R424" s="275"/>
    </row>
    <row r="425" spans="1:18" s="89" customFormat="1" x14ac:dyDescent="0.2">
      <c r="A425" s="275"/>
      <c r="B425" s="343"/>
      <c r="C425" s="63"/>
      <c r="D425" s="469" t="s">
        <v>16</v>
      </c>
      <c r="E425" s="494" t="s">
        <v>119</v>
      </c>
      <c r="F425" s="474">
        <v>0</v>
      </c>
      <c r="G425" s="249">
        <f>$H$4</f>
        <v>40</v>
      </c>
      <c r="H425" s="249">
        <f>+G425*F425</f>
        <v>0</v>
      </c>
      <c r="I425" s="245"/>
      <c r="J425" s="79"/>
      <c r="K425" s="344"/>
      <c r="L425" s="343"/>
      <c r="M425" s="83"/>
      <c r="N425" s="91">
        <f>H425</f>
        <v>0</v>
      </c>
      <c r="O425" s="83"/>
      <c r="P425" s="31"/>
      <c r="Q425" s="344"/>
      <c r="R425" s="275"/>
    </row>
    <row r="426" spans="1:18" s="89" customFormat="1" x14ac:dyDescent="0.2">
      <c r="A426" s="275"/>
      <c r="B426" s="343"/>
      <c r="C426" s="63"/>
      <c r="D426" s="469" t="s">
        <v>13</v>
      </c>
      <c r="E426" s="493" t="s">
        <v>60</v>
      </c>
      <c r="F426" s="474">
        <f>E420</f>
        <v>50376.959999999999</v>
      </c>
      <c r="G426" s="249">
        <v>0</v>
      </c>
      <c r="H426" s="249">
        <f>+G426*F426</f>
        <v>0</v>
      </c>
      <c r="I426" s="245"/>
      <c r="J426" s="79"/>
      <c r="K426" s="344"/>
      <c r="L426" s="343"/>
      <c r="M426" s="83"/>
      <c r="N426" s="91"/>
      <c r="O426" s="83">
        <f>SUM(H426)</f>
        <v>0</v>
      </c>
      <c r="P426" s="31"/>
      <c r="Q426" s="344"/>
      <c r="R426" s="275"/>
    </row>
    <row r="427" spans="1:18" s="89" customFormat="1" x14ac:dyDescent="0.2">
      <c r="A427" s="275"/>
      <c r="B427" s="343"/>
      <c r="C427" s="63"/>
      <c r="D427" s="469" t="s">
        <v>157</v>
      </c>
      <c r="E427" s="494" t="s">
        <v>117</v>
      </c>
      <c r="F427" s="486">
        <f>+G421+G422+G426</f>
        <v>5.5</v>
      </c>
      <c r="G427" s="248" t="s">
        <v>143</v>
      </c>
      <c r="H427" s="249">
        <f>SUM(H421:H426)</f>
        <v>459941.64480000001</v>
      </c>
      <c r="I427" s="245"/>
      <c r="J427" s="79"/>
      <c r="K427" s="344"/>
      <c r="L427" s="343"/>
      <c r="M427" s="239"/>
      <c r="N427" s="240"/>
      <c r="O427" s="91"/>
      <c r="P427" s="31"/>
      <c r="Q427" s="344"/>
      <c r="R427" s="275"/>
    </row>
    <row r="428" spans="1:18" s="89" customFormat="1" x14ac:dyDescent="0.2">
      <c r="A428" s="275"/>
      <c r="B428" s="343"/>
      <c r="C428" s="63"/>
      <c r="D428" s="487" t="s">
        <v>142</v>
      </c>
      <c r="E428" s="494" t="s">
        <v>117</v>
      </c>
      <c r="F428" s="474">
        <f>+E420+F423*E423</f>
        <v>83625.753599999996</v>
      </c>
      <c r="G428" s="478"/>
      <c r="H428" s="249">
        <f>+((F428/2)*F427)/6</f>
        <v>38328.470399999998</v>
      </c>
      <c r="I428" s="250"/>
      <c r="J428" s="236"/>
      <c r="K428" s="344"/>
      <c r="L428" s="343"/>
      <c r="M428" s="83"/>
      <c r="N428" s="92"/>
      <c r="O428" s="93">
        <f>H428</f>
        <v>38328.470399999998</v>
      </c>
      <c r="P428" s="88"/>
      <c r="Q428" s="344"/>
      <c r="R428" s="275"/>
    </row>
    <row r="429" spans="1:18" s="89" customFormat="1" x14ac:dyDescent="0.2">
      <c r="A429" s="275"/>
      <c r="B429" s="343"/>
      <c r="C429" s="63"/>
      <c r="D429" s="487" t="s">
        <v>191</v>
      </c>
      <c r="E429" s="474"/>
      <c r="F429" s="474">
        <f>+E420+F423*E423</f>
        <v>83625.753599999996</v>
      </c>
      <c r="G429" s="479"/>
      <c r="H429" s="249">
        <f>+(F429/30)*((F427*30)/20)</f>
        <v>22997.08224</v>
      </c>
      <c r="I429" s="251">
        <v>0</v>
      </c>
      <c r="J429" s="93">
        <f>+(H427+H428+H429)*C420</f>
        <v>521267.19744000002</v>
      </c>
      <c r="K429" s="344"/>
      <c r="L429" s="343"/>
      <c r="M429" s="83"/>
      <c r="N429" s="92"/>
      <c r="O429" s="93">
        <f>H429</f>
        <v>22997.08224</v>
      </c>
      <c r="P429" s="88"/>
      <c r="Q429" s="344"/>
      <c r="R429" s="275"/>
    </row>
    <row r="430" spans="1:18" s="89" customFormat="1" x14ac:dyDescent="0.2">
      <c r="A430" s="275"/>
      <c r="B430" s="343"/>
      <c r="C430" s="63"/>
      <c r="D430" s="488"/>
      <c r="E430" s="466"/>
      <c r="F430" s="486"/>
      <c r="G430" s="483"/>
      <c r="H430" s="453"/>
      <c r="I430" s="253"/>
      <c r="J430" s="79"/>
      <c r="K430" s="344"/>
      <c r="L430" s="343"/>
      <c r="M430" s="87"/>
      <c r="N430" s="79"/>
      <c r="O430" s="79"/>
      <c r="P430" s="88"/>
      <c r="Q430" s="344"/>
      <c r="R430" s="275"/>
    </row>
    <row r="431" spans="1:18" s="89" customFormat="1" ht="15" customHeight="1" x14ac:dyDescent="0.2">
      <c r="A431" s="275"/>
      <c r="B431" s="360"/>
      <c r="C431" s="13">
        <v>1</v>
      </c>
      <c r="D431" s="264" t="s">
        <v>335</v>
      </c>
      <c r="E431" s="489">
        <v>50376.959999999999</v>
      </c>
      <c r="F431" s="486"/>
      <c r="G431" s="480"/>
      <c r="H431" s="481"/>
      <c r="I431" s="254"/>
      <c r="J431" s="146"/>
      <c r="K431" s="361"/>
      <c r="L431" s="360"/>
      <c r="M431" s="87"/>
      <c r="N431" s="79"/>
      <c r="O431" s="79"/>
      <c r="P431" s="88"/>
      <c r="Q431" s="361"/>
      <c r="R431" s="275"/>
    </row>
    <row r="432" spans="1:18" s="89" customFormat="1" x14ac:dyDescent="0.2">
      <c r="A432" s="275"/>
      <c r="B432" s="343"/>
      <c r="C432" s="63"/>
      <c r="D432" s="469" t="s">
        <v>84</v>
      </c>
      <c r="E432" s="493" t="s">
        <v>156</v>
      </c>
      <c r="F432" s="474">
        <f>E431</f>
        <v>50376.959999999999</v>
      </c>
      <c r="G432" s="482">
        <v>1</v>
      </c>
      <c r="H432" s="249">
        <f>+G432*F432</f>
        <v>50376.959999999999</v>
      </c>
      <c r="I432" s="253"/>
      <c r="J432" s="79"/>
      <c r="K432" s="344"/>
      <c r="L432" s="343"/>
      <c r="M432" s="83">
        <f>H432</f>
        <v>50376.959999999999</v>
      </c>
      <c r="N432" s="91"/>
      <c r="O432" s="83"/>
      <c r="P432" s="31"/>
      <c r="Q432" s="344"/>
      <c r="R432" s="275"/>
    </row>
    <row r="433" spans="1:18" s="89" customFormat="1" x14ac:dyDescent="0.2">
      <c r="A433" s="275"/>
      <c r="B433" s="343"/>
      <c r="C433" s="63"/>
      <c r="D433" s="75" t="s">
        <v>77</v>
      </c>
      <c r="E433" s="77" t="s">
        <v>156</v>
      </c>
      <c r="F433" s="244">
        <f>E431</f>
        <v>50376.959999999999</v>
      </c>
      <c r="G433" s="62">
        <v>4</v>
      </c>
      <c r="H433" s="249">
        <f>+G433*F433</f>
        <v>201507.84</v>
      </c>
      <c r="I433" s="253"/>
      <c r="J433" s="79"/>
      <c r="K433" s="344"/>
      <c r="L433" s="343"/>
      <c r="M433" s="83"/>
      <c r="N433" s="91">
        <f>H433</f>
        <v>201507.84</v>
      </c>
      <c r="O433" s="83"/>
      <c r="P433" s="31"/>
      <c r="Q433" s="344"/>
      <c r="R433" s="275"/>
    </row>
    <row r="434" spans="1:18" s="89" customFormat="1" x14ac:dyDescent="0.2">
      <c r="A434" s="275"/>
      <c r="B434" s="343"/>
      <c r="C434" s="63"/>
      <c r="D434" s="75" t="s">
        <v>158</v>
      </c>
      <c r="E434" s="247">
        <v>66</v>
      </c>
      <c r="F434" s="244">
        <f>E431/150*1.5</f>
        <v>503.76960000000003</v>
      </c>
      <c r="G434" s="62">
        <f>+F438</f>
        <v>5</v>
      </c>
      <c r="H434" s="249">
        <f>+G434*F434*E434</f>
        <v>166243.96799999999</v>
      </c>
      <c r="I434" s="253"/>
      <c r="J434" s="79"/>
      <c r="K434" s="344"/>
      <c r="L434" s="343"/>
      <c r="M434" s="83"/>
      <c r="N434" s="91">
        <f>H434</f>
        <v>166243.96799999999</v>
      </c>
      <c r="O434" s="83"/>
      <c r="P434" s="31"/>
      <c r="Q434" s="344"/>
      <c r="R434" s="275"/>
    </row>
    <row r="435" spans="1:18" s="89" customFormat="1" x14ac:dyDescent="0.2">
      <c r="A435" s="275"/>
      <c r="B435" s="343"/>
      <c r="C435" s="63"/>
      <c r="D435" s="75" t="s">
        <v>14</v>
      </c>
      <c r="E435" s="10" t="s">
        <v>119</v>
      </c>
      <c r="F435" s="244">
        <v>0</v>
      </c>
      <c r="G435" s="28">
        <f>$H$3</f>
        <v>80</v>
      </c>
      <c r="H435" s="249">
        <f>+G435*F435</f>
        <v>0</v>
      </c>
      <c r="I435" s="253"/>
      <c r="J435" s="79"/>
      <c r="K435" s="344"/>
      <c r="L435" s="343"/>
      <c r="M435" s="83"/>
      <c r="N435" s="91">
        <f>H435</f>
        <v>0</v>
      </c>
      <c r="O435" s="83"/>
      <c r="P435" s="31"/>
      <c r="Q435" s="344"/>
      <c r="R435" s="275"/>
    </row>
    <row r="436" spans="1:18" s="89" customFormat="1" x14ac:dyDescent="0.2">
      <c r="A436" s="275"/>
      <c r="B436" s="343"/>
      <c r="C436" s="63"/>
      <c r="D436" s="75" t="s">
        <v>16</v>
      </c>
      <c r="E436" s="10" t="s">
        <v>119</v>
      </c>
      <c r="F436" s="244">
        <v>0</v>
      </c>
      <c r="G436" s="28">
        <f>$H$4</f>
        <v>40</v>
      </c>
      <c r="H436" s="249">
        <f>+G436*F436</f>
        <v>0</v>
      </c>
      <c r="I436" s="253"/>
      <c r="J436" s="79"/>
      <c r="K436" s="344"/>
      <c r="L436" s="343"/>
      <c r="M436" s="83"/>
      <c r="N436" s="91">
        <f>H436</f>
        <v>0</v>
      </c>
      <c r="O436" s="83"/>
      <c r="P436" s="31"/>
      <c r="Q436" s="344"/>
      <c r="R436" s="275"/>
    </row>
    <row r="437" spans="1:18" s="89" customFormat="1" x14ac:dyDescent="0.2">
      <c r="A437" s="275"/>
      <c r="B437" s="343"/>
      <c r="C437" s="63"/>
      <c r="D437" s="469" t="s">
        <v>13</v>
      </c>
      <c r="E437" s="493" t="s">
        <v>60</v>
      </c>
      <c r="F437" s="474">
        <f>E431</f>
        <v>50376.959999999999</v>
      </c>
      <c r="G437" s="249">
        <v>0</v>
      </c>
      <c r="H437" s="249">
        <f>+G437*F437</f>
        <v>0</v>
      </c>
      <c r="I437" s="253"/>
      <c r="J437" s="79"/>
      <c r="K437" s="344"/>
      <c r="L437" s="343"/>
      <c r="M437" s="83"/>
      <c r="N437" s="91"/>
      <c r="O437" s="83">
        <f>SUM(H437)</f>
        <v>0</v>
      </c>
      <c r="P437" s="31"/>
      <c r="Q437" s="344"/>
      <c r="R437" s="275"/>
    </row>
    <row r="438" spans="1:18" s="89" customFormat="1" x14ac:dyDescent="0.2">
      <c r="A438" s="275"/>
      <c r="B438" s="343"/>
      <c r="C438" s="63"/>
      <c r="D438" s="469" t="s">
        <v>157</v>
      </c>
      <c r="E438" s="494" t="s">
        <v>117</v>
      </c>
      <c r="F438" s="486">
        <f>+G432+G433+G437</f>
        <v>5</v>
      </c>
      <c r="G438" s="248" t="s">
        <v>143</v>
      </c>
      <c r="H438" s="249">
        <f>SUM(H432:H437)</f>
        <v>418128.76799999998</v>
      </c>
      <c r="I438" s="245"/>
      <c r="J438" s="79"/>
      <c r="K438" s="344"/>
      <c r="L438" s="343"/>
      <c r="M438" s="239"/>
      <c r="N438" s="240"/>
      <c r="O438" s="91"/>
      <c r="P438" s="31"/>
      <c r="Q438" s="344"/>
      <c r="R438" s="275"/>
    </row>
    <row r="439" spans="1:18" s="89" customFormat="1" x14ac:dyDescent="0.2">
      <c r="A439" s="275"/>
      <c r="B439" s="343"/>
      <c r="C439" s="63"/>
      <c r="D439" s="487" t="s">
        <v>142</v>
      </c>
      <c r="E439" s="494" t="s">
        <v>117</v>
      </c>
      <c r="F439" s="474">
        <f>+E431+F434*E434</f>
        <v>83625.753599999996</v>
      </c>
      <c r="G439" s="478"/>
      <c r="H439" s="249">
        <f>+((F439/2)*F438)/6</f>
        <v>34844.063999999998</v>
      </c>
      <c r="I439" s="250"/>
      <c r="J439" s="236"/>
      <c r="K439" s="344"/>
      <c r="L439" s="343"/>
      <c r="M439" s="83"/>
      <c r="N439" s="92"/>
      <c r="O439" s="93">
        <f>H439</f>
        <v>34844.063999999998</v>
      </c>
      <c r="P439" s="88"/>
      <c r="Q439" s="344"/>
      <c r="R439" s="275"/>
    </row>
    <row r="440" spans="1:18" s="89" customFormat="1" x14ac:dyDescent="0.2">
      <c r="A440" s="275"/>
      <c r="B440" s="343"/>
      <c r="C440" s="63"/>
      <c r="D440" s="487" t="s">
        <v>191</v>
      </c>
      <c r="E440" s="474"/>
      <c r="F440" s="474">
        <f>+E431+F434*E434</f>
        <v>83625.753599999996</v>
      </c>
      <c r="G440" s="479"/>
      <c r="H440" s="249">
        <f>+(F440/30)*((F438*30)/20)</f>
        <v>20906.438399999999</v>
      </c>
      <c r="I440" s="251">
        <v>0</v>
      </c>
      <c r="J440" s="93">
        <f>+(H438+H439+H440)*C431</f>
        <v>473879.27039999998</v>
      </c>
      <c r="K440" s="344"/>
      <c r="L440" s="343"/>
      <c r="M440" s="83"/>
      <c r="N440" s="92"/>
      <c r="O440" s="93">
        <f>H440</f>
        <v>20906.438399999999</v>
      </c>
      <c r="P440" s="88"/>
      <c r="Q440" s="344"/>
      <c r="R440" s="275"/>
    </row>
    <row r="441" spans="1:18" s="89" customFormat="1" x14ac:dyDescent="0.2">
      <c r="A441" s="275"/>
      <c r="B441" s="343"/>
      <c r="C441" s="63"/>
      <c r="D441" s="488"/>
      <c r="E441" s="466"/>
      <c r="F441" s="486"/>
      <c r="G441" s="483"/>
      <c r="H441" s="453"/>
      <c r="I441" s="253"/>
      <c r="J441" s="79"/>
      <c r="K441" s="344"/>
      <c r="L441" s="343"/>
      <c r="M441" s="87"/>
      <c r="N441" s="79"/>
      <c r="O441" s="79"/>
      <c r="P441" s="88"/>
      <c r="Q441" s="344"/>
      <c r="R441" s="275"/>
    </row>
    <row r="442" spans="1:18" s="89" customFormat="1" ht="15" customHeight="1" x14ac:dyDescent="0.2">
      <c r="A442" s="275"/>
      <c r="B442" s="360"/>
      <c r="C442" s="13">
        <v>3</v>
      </c>
      <c r="D442" s="264" t="s">
        <v>340</v>
      </c>
      <c r="E442" s="489">
        <v>40521.599999999999</v>
      </c>
      <c r="F442" s="486"/>
      <c r="G442" s="480"/>
      <c r="H442" s="481"/>
      <c r="I442" s="254"/>
      <c r="J442" s="146"/>
      <c r="K442" s="361"/>
      <c r="L442" s="360"/>
      <c r="M442" s="87"/>
      <c r="N442" s="79"/>
      <c r="O442" s="79"/>
      <c r="P442" s="88"/>
      <c r="Q442" s="361"/>
      <c r="R442" s="275"/>
    </row>
    <row r="443" spans="1:18" s="89" customFormat="1" x14ac:dyDescent="0.2">
      <c r="A443" s="275"/>
      <c r="B443" s="343"/>
      <c r="C443" s="63"/>
      <c r="D443" s="469" t="s">
        <v>84</v>
      </c>
      <c r="E443" s="493" t="s">
        <v>156</v>
      </c>
      <c r="F443" s="474">
        <f>E442</f>
        <v>40521.599999999999</v>
      </c>
      <c r="G443" s="482">
        <v>0</v>
      </c>
      <c r="H443" s="249">
        <f>+G443*F443</f>
        <v>0</v>
      </c>
      <c r="I443" s="253"/>
      <c r="J443" s="79"/>
      <c r="K443" s="344"/>
      <c r="L443" s="343"/>
      <c r="M443" s="83">
        <f>H443</f>
        <v>0</v>
      </c>
      <c r="N443" s="91"/>
      <c r="O443" s="83"/>
      <c r="P443" s="31"/>
      <c r="Q443" s="344"/>
      <c r="R443" s="275"/>
    </row>
    <row r="444" spans="1:18" s="89" customFormat="1" x14ac:dyDescent="0.2">
      <c r="A444" s="275"/>
      <c r="B444" s="343"/>
      <c r="C444" s="63"/>
      <c r="D444" s="469" t="s">
        <v>77</v>
      </c>
      <c r="E444" s="493" t="s">
        <v>156</v>
      </c>
      <c r="F444" s="474">
        <f>E442</f>
        <v>40521.599999999999</v>
      </c>
      <c r="G444" s="482">
        <v>4</v>
      </c>
      <c r="H444" s="249">
        <f>+G444*F444</f>
        <v>162086.39999999999</v>
      </c>
      <c r="I444" s="253"/>
      <c r="J444" s="79"/>
      <c r="K444" s="344"/>
      <c r="L444" s="343"/>
      <c r="M444" s="83"/>
      <c r="N444" s="91">
        <f>H444</f>
        <v>162086.39999999999</v>
      </c>
      <c r="O444" s="83"/>
      <c r="P444" s="31"/>
      <c r="Q444" s="344"/>
      <c r="R444" s="275"/>
    </row>
    <row r="445" spans="1:18" s="89" customFormat="1" x14ac:dyDescent="0.2">
      <c r="A445" s="275"/>
      <c r="B445" s="343"/>
      <c r="C445" s="63"/>
      <c r="D445" s="469" t="s">
        <v>158</v>
      </c>
      <c r="E445" s="247">
        <v>66</v>
      </c>
      <c r="F445" s="474">
        <f>E442/150*1.5</f>
        <v>405.21600000000001</v>
      </c>
      <c r="G445" s="482">
        <f>+F449</f>
        <v>4</v>
      </c>
      <c r="H445" s="249">
        <f>+G445*F445*E445</f>
        <v>106977.024</v>
      </c>
      <c r="I445" s="253"/>
      <c r="J445" s="79"/>
      <c r="K445" s="344"/>
      <c r="L445" s="343"/>
      <c r="M445" s="83"/>
      <c r="N445" s="91">
        <f>H445</f>
        <v>106977.024</v>
      </c>
      <c r="O445" s="83"/>
      <c r="P445" s="31"/>
      <c r="Q445" s="344"/>
      <c r="R445" s="275"/>
    </row>
    <row r="446" spans="1:18" s="89" customFormat="1" x14ac:dyDescent="0.2">
      <c r="A446" s="275"/>
      <c r="B446" s="343"/>
      <c r="C446" s="63"/>
      <c r="D446" s="469" t="s">
        <v>14</v>
      </c>
      <c r="E446" s="494" t="s">
        <v>119</v>
      </c>
      <c r="F446" s="474">
        <v>0</v>
      </c>
      <c r="G446" s="249">
        <f>$H$3</f>
        <v>80</v>
      </c>
      <c r="H446" s="249">
        <f>+G446*F446</f>
        <v>0</v>
      </c>
      <c r="I446" s="253"/>
      <c r="J446" s="79"/>
      <c r="K446" s="344"/>
      <c r="L446" s="343"/>
      <c r="M446" s="83"/>
      <c r="N446" s="91">
        <f>H446</f>
        <v>0</v>
      </c>
      <c r="O446" s="83"/>
      <c r="P446" s="31"/>
      <c r="Q446" s="344"/>
      <c r="R446" s="275"/>
    </row>
    <row r="447" spans="1:18" s="89" customFormat="1" x14ac:dyDescent="0.2">
      <c r="A447" s="275"/>
      <c r="B447" s="343"/>
      <c r="C447" s="63"/>
      <c r="D447" s="469" t="s">
        <v>16</v>
      </c>
      <c r="E447" s="494" t="s">
        <v>119</v>
      </c>
      <c r="F447" s="474">
        <v>0</v>
      </c>
      <c r="G447" s="249">
        <f>$H$4</f>
        <v>40</v>
      </c>
      <c r="H447" s="249">
        <f>+G447*F447</f>
        <v>0</v>
      </c>
      <c r="I447" s="253"/>
      <c r="J447" s="79"/>
      <c r="K447" s="344"/>
      <c r="L447" s="343"/>
      <c r="M447" s="83"/>
      <c r="N447" s="91">
        <f>H447</f>
        <v>0</v>
      </c>
      <c r="O447" s="83"/>
      <c r="P447" s="31"/>
      <c r="Q447" s="344"/>
      <c r="R447" s="275"/>
    </row>
    <row r="448" spans="1:18" s="89" customFormat="1" x14ac:dyDescent="0.2">
      <c r="A448" s="275"/>
      <c r="B448" s="343"/>
      <c r="C448" s="63"/>
      <c r="D448" s="469" t="s">
        <v>13</v>
      </c>
      <c r="E448" s="493" t="s">
        <v>60</v>
      </c>
      <c r="F448" s="474">
        <f>E442</f>
        <v>40521.599999999999</v>
      </c>
      <c r="G448" s="249">
        <v>0</v>
      </c>
      <c r="H448" s="249">
        <f>+G448*F448</f>
        <v>0</v>
      </c>
      <c r="I448" s="253"/>
      <c r="J448" s="79"/>
      <c r="K448" s="344"/>
      <c r="L448" s="343"/>
      <c r="M448" s="83"/>
      <c r="N448" s="91"/>
      <c r="O448" s="83">
        <f>SUM(H448)</f>
        <v>0</v>
      </c>
      <c r="P448" s="31"/>
      <c r="Q448" s="344"/>
      <c r="R448" s="275"/>
    </row>
    <row r="449" spans="1:18" s="89" customFormat="1" x14ac:dyDescent="0.2">
      <c r="A449" s="275"/>
      <c r="B449" s="343"/>
      <c r="C449" s="63"/>
      <c r="D449" s="469" t="s">
        <v>157</v>
      </c>
      <c r="E449" s="494" t="s">
        <v>117</v>
      </c>
      <c r="F449" s="486">
        <f>+G443+G444+G448</f>
        <v>4</v>
      </c>
      <c r="G449" s="248" t="s">
        <v>143</v>
      </c>
      <c r="H449" s="249">
        <f>SUM(H443:H448)</f>
        <v>269063.424</v>
      </c>
      <c r="I449" s="245"/>
      <c r="J449" s="79"/>
      <c r="K449" s="344"/>
      <c r="L449" s="343"/>
      <c r="M449" s="239"/>
      <c r="N449" s="240"/>
      <c r="O449" s="91"/>
      <c r="P449" s="31"/>
      <c r="Q449" s="344"/>
      <c r="R449" s="275"/>
    </row>
    <row r="450" spans="1:18" s="89" customFormat="1" x14ac:dyDescent="0.2">
      <c r="A450" s="275"/>
      <c r="B450" s="343"/>
      <c r="C450" s="63"/>
      <c r="D450" s="487" t="s">
        <v>142</v>
      </c>
      <c r="E450" s="494" t="s">
        <v>117</v>
      </c>
      <c r="F450" s="474">
        <f>+E442+F445*E445</f>
        <v>67265.856</v>
      </c>
      <c r="G450" s="478"/>
      <c r="H450" s="249">
        <f>+((F450/2)*F449)/6</f>
        <v>22421.952000000001</v>
      </c>
      <c r="I450" s="250"/>
      <c r="J450" s="236"/>
      <c r="K450" s="344"/>
      <c r="L450" s="343"/>
      <c r="M450" s="83"/>
      <c r="N450" s="92"/>
      <c r="O450" s="93">
        <f>H450</f>
        <v>22421.952000000001</v>
      </c>
      <c r="P450" s="88"/>
      <c r="Q450" s="344"/>
      <c r="R450" s="275"/>
    </row>
    <row r="451" spans="1:18" s="89" customFormat="1" x14ac:dyDescent="0.2">
      <c r="A451" s="275"/>
      <c r="B451" s="343"/>
      <c r="C451" s="63"/>
      <c r="D451" s="487" t="s">
        <v>191</v>
      </c>
      <c r="E451" s="474"/>
      <c r="F451" s="474">
        <f>+E442+F445*E445</f>
        <v>67265.856</v>
      </c>
      <c r="G451" s="479"/>
      <c r="H451" s="249">
        <f>+(F451/30)*((F449*30)/20)</f>
        <v>13453.171200000001</v>
      </c>
      <c r="I451" s="251">
        <v>0</v>
      </c>
      <c r="J451" s="93">
        <f>+(H449+H450+H451)*C442</f>
        <v>914815.64159999997</v>
      </c>
      <c r="K451" s="344"/>
      <c r="L451" s="343"/>
      <c r="M451" s="83"/>
      <c r="N451" s="92"/>
      <c r="O451" s="93">
        <f>H451</f>
        <v>13453.171200000001</v>
      </c>
      <c r="P451" s="88"/>
      <c r="Q451" s="344"/>
      <c r="R451" s="275"/>
    </row>
    <row r="452" spans="1:18" s="89" customFormat="1" x14ac:dyDescent="0.2">
      <c r="A452" s="275"/>
      <c r="B452" s="343"/>
      <c r="C452" s="63"/>
      <c r="D452" s="488"/>
      <c r="E452" s="466"/>
      <c r="F452" s="486"/>
      <c r="G452" s="483"/>
      <c r="H452" s="453"/>
      <c r="I452" s="253"/>
      <c r="J452" s="79"/>
      <c r="K452" s="344"/>
      <c r="L452" s="343"/>
      <c r="M452" s="87"/>
      <c r="N452" s="79"/>
      <c r="O452" s="79"/>
      <c r="P452" s="88"/>
      <c r="Q452" s="344"/>
      <c r="R452" s="275"/>
    </row>
    <row r="453" spans="1:18" s="89" customFormat="1" ht="15" customHeight="1" x14ac:dyDescent="0.2">
      <c r="A453" s="275"/>
      <c r="B453" s="360"/>
      <c r="C453" s="13">
        <v>2</v>
      </c>
      <c r="D453" s="264" t="s">
        <v>341</v>
      </c>
      <c r="E453" s="489">
        <v>29368.959999999999</v>
      </c>
      <c r="F453" s="486"/>
      <c r="G453" s="480"/>
      <c r="H453" s="481"/>
      <c r="I453" s="254"/>
      <c r="J453" s="146"/>
      <c r="K453" s="361"/>
      <c r="L453" s="360"/>
      <c r="M453" s="87"/>
      <c r="N453" s="79"/>
      <c r="O453" s="79"/>
      <c r="P453" s="88"/>
      <c r="Q453" s="361"/>
      <c r="R453" s="275"/>
    </row>
    <row r="454" spans="1:18" s="89" customFormat="1" x14ac:dyDescent="0.2">
      <c r="A454" s="275"/>
      <c r="B454" s="343"/>
      <c r="C454" s="63"/>
      <c r="D454" s="469" t="s">
        <v>84</v>
      </c>
      <c r="E454" s="493" t="s">
        <v>156</v>
      </c>
      <c r="F454" s="474">
        <f>E453</f>
        <v>29368.959999999999</v>
      </c>
      <c r="G454" s="482">
        <v>0</v>
      </c>
      <c r="H454" s="249">
        <f>+G454*F454</f>
        <v>0</v>
      </c>
      <c r="I454" s="253"/>
      <c r="J454" s="79"/>
      <c r="K454" s="344"/>
      <c r="L454" s="343"/>
      <c r="M454" s="83">
        <f>H454</f>
        <v>0</v>
      </c>
      <c r="N454" s="91"/>
      <c r="O454" s="83"/>
      <c r="P454" s="31"/>
      <c r="Q454" s="344"/>
      <c r="R454" s="275"/>
    </row>
    <row r="455" spans="1:18" s="89" customFormat="1" x14ac:dyDescent="0.2">
      <c r="A455" s="275"/>
      <c r="B455" s="343"/>
      <c r="C455" s="63"/>
      <c r="D455" s="469" t="s">
        <v>77</v>
      </c>
      <c r="E455" s="493" t="s">
        <v>156</v>
      </c>
      <c r="F455" s="474">
        <f>E453</f>
        <v>29368.959999999999</v>
      </c>
      <c r="G455" s="482">
        <v>4</v>
      </c>
      <c r="H455" s="249">
        <f>+G455*F455</f>
        <v>117475.84</v>
      </c>
      <c r="I455" s="253"/>
      <c r="J455" s="79"/>
      <c r="K455" s="344"/>
      <c r="L455" s="343"/>
      <c r="M455" s="83"/>
      <c r="N455" s="91">
        <f>H455</f>
        <v>117475.84</v>
      </c>
      <c r="O455" s="83"/>
      <c r="P455" s="31"/>
      <c r="Q455" s="344"/>
      <c r="R455" s="275"/>
    </row>
    <row r="456" spans="1:18" s="89" customFormat="1" x14ac:dyDescent="0.2">
      <c r="A456" s="275"/>
      <c r="B456" s="343"/>
      <c r="C456" s="63"/>
      <c r="D456" s="469" t="s">
        <v>158</v>
      </c>
      <c r="E456" s="247">
        <v>66</v>
      </c>
      <c r="F456" s="474">
        <f>E453/150*1.5</f>
        <v>293.68959999999998</v>
      </c>
      <c r="G456" s="482">
        <f>+F460</f>
        <v>4</v>
      </c>
      <c r="H456" s="249">
        <f>+G456*F456*E456</f>
        <v>77534.054399999994</v>
      </c>
      <c r="I456" s="253"/>
      <c r="J456" s="79"/>
      <c r="K456" s="344"/>
      <c r="L456" s="343"/>
      <c r="M456" s="83"/>
      <c r="N456" s="91">
        <f>H456</f>
        <v>77534.054399999994</v>
      </c>
      <c r="O456" s="83"/>
      <c r="P456" s="31"/>
      <c r="Q456" s="344"/>
      <c r="R456" s="275"/>
    </row>
    <row r="457" spans="1:18" s="89" customFormat="1" x14ac:dyDescent="0.2">
      <c r="A457" s="275"/>
      <c r="B457" s="343"/>
      <c r="C457" s="63"/>
      <c r="D457" s="75" t="s">
        <v>14</v>
      </c>
      <c r="E457" s="10" t="s">
        <v>119</v>
      </c>
      <c r="F457" s="244">
        <v>0</v>
      </c>
      <c r="G457" s="28">
        <f>$H$3</f>
        <v>80</v>
      </c>
      <c r="H457" s="249">
        <f>+G457*F457</f>
        <v>0</v>
      </c>
      <c r="I457" s="253"/>
      <c r="J457" s="79"/>
      <c r="K457" s="344"/>
      <c r="L457" s="343"/>
      <c r="M457" s="83"/>
      <c r="N457" s="91">
        <f>H457</f>
        <v>0</v>
      </c>
      <c r="O457" s="83"/>
      <c r="P457" s="31"/>
      <c r="Q457" s="344"/>
      <c r="R457" s="275"/>
    </row>
    <row r="458" spans="1:18" s="89" customFormat="1" x14ac:dyDescent="0.2">
      <c r="A458" s="275"/>
      <c r="B458" s="343"/>
      <c r="C458" s="63"/>
      <c r="D458" s="75" t="s">
        <v>16</v>
      </c>
      <c r="E458" s="10" t="s">
        <v>119</v>
      </c>
      <c r="F458" s="244">
        <v>0</v>
      </c>
      <c r="G458" s="28">
        <f>$H$4</f>
        <v>40</v>
      </c>
      <c r="H458" s="249">
        <f>+G458*F458</f>
        <v>0</v>
      </c>
      <c r="I458" s="253"/>
      <c r="J458" s="79"/>
      <c r="K458" s="344"/>
      <c r="L458" s="343"/>
      <c r="M458" s="83"/>
      <c r="N458" s="91">
        <f>H458</f>
        <v>0</v>
      </c>
      <c r="O458" s="83"/>
      <c r="P458" s="31"/>
      <c r="Q458" s="344"/>
      <c r="R458" s="275"/>
    </row>
    <row r="459" spans="1:18" s="89" customFormat="1" x14ac:dyDescent="0.2">
      <c r="A459" s="275"/>
      <c r="B459" s="343"/>
      <c r="C459" s="63"/>
      <c r="D459" s="75" t="s">
        <v>13</v>
      </c>
      <c r="E459" s="77" t="s">
        <v>60</v>
      </c>
      <c r="F459" s="474">
        <f>E453</f>
        <v>29368.959999999999</v>
      </c>
      <c r="G459" s="249">
        <v>0</v>
      </c>
      <c r="H459" s="249">
        <f>+G459*F459</f>
        <v>0</v>
      </c>
      <c r="I459" s="253"/>
      <c r="J459" s="79"/>
      <c r="K459" s="344"/>
      <c r="L459" s="343"/>
      <c r="M459" s="83"/>
      <c r="N459" s="91"/>
      <c r="O459" s="83">
        <f>SUM(H459)</f>
        <v>0</v>
      </c>
      <c r="P459" s="31"/>
      <c r="Q459" s="344"/>
      <c r="R459" s="275"/>
    </row>
    <row r="460" spans="1:18" s="89" customFormat="1" x14ac:dyDescent="0.2">
      <c r="A460" s="275"/>
      <c r="B460" s="343"/>
      <c r="C460" s="63"/>
      <c r="D460" s="75" t="s">
        <v>157</v>
      </c>
      <c r="E460" s="10" t="s">
        <v>117</v>
      </c>
      <c r="F460" s="486">
        <f>+G454+G455+G459</f>
        <v>4</v>
      </c>
      <c r="G460" s="248" t="s">
        <v>143</v>
      </c>
      <c r="H460" s="249">
        <f>SUM(H454:H459)</f>
        <v>195009.89439999999</v>
      </c>
      <c r="I460" s="245"/>
      <c r="J460" s="79"/>
      <c r="K460" s="344"/>
      <c r="L460" s="343"/>
      <c r="M460" s="239"/>
      <c r="N460" s="240"/>
      <c r="O460" s="91"/>
      <c r="P460" s="31"/>
      <c r="Q460" s="344"/>
      <c r="R460" s="275"/>
    </row>
    <row r="461" spans="1:18" s="89" customFormat="1" x14ac:dyDescent="0.2">
      <c r="A461" s="275"/>
      <c r="B461" s="343"/>
      <c r="C461" s="63"/>
      <c r="D461" s="116" t="s">
        <v>142</v>
      </c>
      <c r="E461" s="10" t="s">
        <v>117</v>
      </c>
      <c r="F461" s="474">
        <f>+E453+F456*E456</f>
        <v>48752.473599999998</v>
      </c>
      <c r="G461" s="478"/>
      <c r="H461" s="249">
        <f>+((F461/2)*F460)/6</f>
        <v>16250.824533333333</v>
      </c>
      <c r="I461" s="250"/>
      <c r="J461" s="236"/>
      <c r="K461" s="344"/>
      <c r="L461" s="343"/>
      <c r="M461" s="83"/>
      <c r="N461" s="92"/>
      <c r="O461" s="93">
        <f>H461</f>
        <v>16250.824533333333</v>
      </c>
      <c r="P461" s="88"/>
      <c r="Q461" s="344"/>
      <c r="R461" s="275"/>
    </row>
    <row r="462" spans="1:18" s="89" customFormat="1" x14ac:dyDescent="0.2">
      <c r="A462" s="275"/>
      <c r="B462" s="343"/>
      <c r="C462" s="63"/>
      <c r="D462" s="116" t="s">
        <v>191</v>
      </c>
      <c r="E462" s="244"/>
      <c r="F462" s="474">
        <f>+E453+F456*E456</f>
        <v>48752.473599999998</v>
      </c>
      <c r="G462" s="479"/>
      <c r="H462" s="249">
        <f>+(F462/30)*((F460*30)/20)</f>
        <v>9750.4947199999988</v>
      </c>
      <c r="I462" s="251">
        <v>0</v>
      </c>
      <c r="J462" s="93">
        <f>+(H460+H461+H462)*C453</f>
        <v>442022.42730666662</v>
      </c>
      <c r="K462" s="344"/>
      <c r="L462" s="343"/>
      <c r="M462" s="83"/>
      <c r="N462" s="92"/>
      <c r="O462" s="93">
        <f>H462</f>
        <v>9750.4947199999988</v>
      </c>
      <c r="P462" s="88"/>
      <c r="Q462" s="344"/>
      <c r="R462" s="275"/>
    </row>
    <row r="463" spans="1:18" s="89" customFormat="1" x14ac:dyDescent="0.2">
      <c r="A463" s="275"/>
      <c r="B463" s="343"/>
      <c r="C463" s="63"/>
      <c r="D463" s="94"/>
      <c r="E463" s="7"/>
      <c r="F463" s="486"/>
      <c r="G463" s="483"/>
      <c r="H463" s="453"/>
      <c r="I463" s="253"/>
      <c r="J463" s="79"/>
      <c r="K463" s="344"/>
      <c r="L463" s="343"/>
      <c r="M463" s="87"/>
      <c r="N463" s="79"/>
      <c r="O463" s="79"/>
      <c r="P463" s="88"/>
      <c r="Q463" s="344"/>
      <c r="R463" s="275"/>
    </row>
    <row r="464" spans="1:18" s="89" customFormat="1" ht="15" customHeight="1" x14ac:dyDescent="0.2">
      <c r="A464" s="275"/>
      <c r="B464" s="360"/>
      <c r="C464" s="13">
        <v>1</v>
      </c>
      <c r="D464" s="395" t="s">
        <v>336</v>
      </c>
      <c r="E464" s="489">
        <v>29368.959999999999</v>
      </c>
      <c r="F464" s="486"/>
      <c r="G464" s="480"/>
      <c r="H464" s="481"/>
      <c r="I464" s="254"/>
      <c r="J464" s="146"/>
      <c r="K464" s="361"/>
      <c r="L464" s="360"/>
      <c r="M464" s="87"/>
      <c r="N464" s="79"/>
      <c r="O464" s="79"/>
      <c r="P464" s="88"/>
      <c r="Q464" s="361"/>
      <c r="R464" s="275"/>
    </row>
    <row r="465" spans="1:18" s="89" customFormat="1" x14ac:dyDescent="0.2">
      <c r="A465" s="275"/>
      <c r="B465" s="343"/>
      <c r="C465" s="63"/>
      <c r="D465" s="75" t="s">
        <v>84</v>
      </c>
      <c r="E465" s="77" t="s">
        <v>156</v>
      </c>
      <c r="F465" s="474">
        <f>E464</f>
        <v>29368.959999999999</v>
      </c>
      <c r="G465" s="482">
        <v>0</v>
      </c>
      <c r="H465" s="249">
        <f>+G465*F465</f>
        <v>0</v>
      </c>
      <c r="I465" s="253"/>
      <c r="J465" s="79"/>
      <c r="K465" s="344"/>
      <c r="L465" s="343"/>
      <c r="M465" s="83">
        <f>H465</f>
        <v>0</v>
      </c>
      <c r="N465" s="91"/>
      <c r="O465" s="83"/>
      <c r="P465" s="31"/>
      <c r="Q465" s="344"/>
      <c r="R465" s="275"/>
    </row>
    <row r="466" spans="1:18" s="89" customFormat="1" x14ac:dyDescent="0.2">
      <c r="A466" s="275"/>
      <c r="B466" s="343"/>
      <c r="C466" s="63"/>
      <c r="D466" s="75" t="s">
        <v>77</v>
      </c>
      <c r="E466" s="77" t="s">
        <v>156</v>
      </c>
      <c r="F466" s="474">
        <f>E464</f>
        <v>29368.959999999999</v>
      </c>
      <c r="G466" s="482">
        <v>4</v>
      </c>
      <c r="H466" s="249">
        <f>+G466*F466</f>
        <v>117475.84</v>
      </c>
      <c r="I466" s="253"/>
      <c r="J466" s="79"/>
      <c r="K466" s="344"/>
      <c r="L466" s="343"/>
      <c r="M466" s="83"/>
      <c r="N466" s="91">
        <f>H466</f>
        <v>117475.84</v>
      </c>
      <c r="O466" s="83"/>
      <c r="P466" s="31"/>
      <c r="Q466" s="344"/>
      <c r="R466" s="275"/>
    </row>
    <row r="467" spans="1:18" s="89" customFormat="1" x14ac:dyDescent="0.2">
      <c r="A467" s="275"/>
      <c r="B467" s="343"/>
      <c r="C467" s="63"/>
      <c r="D467" s="75" t="s">
        <v>158</v>
      </c>
      <c r="E467" s="247">
        <v>66</v>
      </c>
      <c r="F467" s="474">
        <f>E464/150*1.5</f>
        <v>293.68959999999998</v>
      </c>
      <c r="G467" s="482">
        <f>+F471</f>
        <v>4</v>
      </c>
      <c r="H467" s="249">
        <f>+G467*F467*E467</f>
        <v>77534.054399999994</v>
      </c>
      <c r="I467" s="253"/>
      <c r="J467" s="79"/>
      <c r="K467" s="344"/>
      <c r="L467" s="343"/>
      <c r="M467" s="83"/>
      <c r="N467" s="91">
        <f>H467</f>
        <v>77534.054399999994</v>
      </c>
      <c r="O467" s="83"/>
      <c r="P467" s="31"/>
      <c r="Q467" s="344"/>
      <c r="R467" s="275"/>
    </row>
    <row r="468" spans="1:18" s="89" customFormat="1" x14ac:dyDescent="0.2">
      <c r="A468" s="275"/>
      <c r="B468" s="343"/>
      <c r="C468" s="63"/>
      <c r="D468" s="75" t="s">
        <v>14</v>
      </c>
      <c r="E468" s="10" t="s">
        <v>119</v>
      </c>
      <c r="F468" s="474">
        <v>0</v>
      </c>
      <c r="G468" s="249">
        <f>$H$3</f>
        <v>80</v>
      </c>
      <c r="H468" s="249">
        <f>+G468*F468</f>
        <v>0</v>
      </c>
      <c r="I468" s="253"/>
      <c r="J468" s="79"/>
      <c r="K468" s="344"/>
      <c r="L468" s="343"/>
      <c r="M468" s="83"/>
      <c r="N468" s="91">
        <f>H468</f>
        <v>0</v>
      </c>
      <c r="O468" s="83"/>
      <c r="P468" s="31"/>
      <c r="Q468" s="344"/>
      <c r="R468" s="275"/>
    </row>
    <row r="469" spans="1:18" s="89" customFormat="1" x14ac:dyDescent="0.2">
      <c r="A469" s="275"/>
      <c r="B469" s="343"/>
      <c r="C469" s="63"/>
      <c r="D469" s="75" t="s">
        <v>16</v>
      </c>
      <c r="E469" s="10" t="s">
        <v>119</v>
      </c>
      <c r="F469" s="474">
        <v>0</v>
      </c>
      <c r="G469" s="249">
        <f>$H$4</f>
        <v>40</v>
      </c>
      <c r="H469" s="249">
        <f>+G469*F469</f>
        <v>0</v>
      </c>
      <c r="I469" s="253"/>
      <c r="J469" s="79"/>
      <c r="K469" s="344"/>
      <c r="L469" s="343"/>
      <c r="M469" s="83"/>
      <c r="N469" s="91">
        <f>H469</f>
        <v>0</v>
      </c>
      <c r="O469" s="83"/>
      <c r="P469" s="31"/>
      <c r="Q469" s="344"/>
      <c r="R469" s="275"/>
    </row>
    <row r="470" spans="1:18" s="89" customFormat="1" x14ac:dyDescent="0.2">
      <c r="A470" s="275"/>
      <c r="B470" s="343"/>
      <c r="C470" s="63"/>
      <c r="D470" s="75" t="s">
        <v>13</v>
      </c>
      <c r="E470" s="77" t="s">
        <v>60</v>
      </c>
      <c r="F470" s="474">
        <f>E464</f>
        <v>29368.959999999999</v>
      </c>
      <c r="G470" s="249">
        <v>0</v>
      </c>
      <c r="H470" s="249">
        <f>+G470*F470</f>
        <v>0</v>
      </c>
      <c r="I470" s="253"/>
      <c r="J470" s="79"/>
      <c r="K470" s="344"/>
      <c r="L470" s="343"/>
      <c r="M470" s="83"/>
      <c r="N470" s="91"/>
      <c r="O470" s="83">
        <f>SUM(H470)</f>
        <v>0</v>
      </c>
      <c r="P470" s="31"/>
      <c r="Q470" s="344"/>
      <c r="R470" s="275"/>
    </row>
    <row r="471" spans="1:18" s="89" customFormat="1" x14ac:dyDescent="0.2">
      <c r="A471" s="275"/>
      <c r="B471" s="343"/>
      <c r="C471" s="63"/>
      <c r="D471" s="75" t="s">
        <v>157</v>
      </c>
      <c r="E471" s="10" t="s">
        <v>117</v>
      </c>
      <c r="F471" s="486">
        <f>+G465+G466+G470</f>
        <v>4</v>
      </c>
      <c r="G471" s="248" t="s">
        <v>143</v>
      </c>
      <c r="H471" s="249">
        <f>SUM(H465:H470)</f>
        <v>195009.89439999999</v>
      </c>
      <c r="I471" s="245"/>
      <c r="J471" s="79"/>
      <c r="K471" s="344"/>
      <c r="L471" s="343"/>
      <c r="M471" s="239"/>
      <c r="N471" s="240"/>
      <c r="O471" s="91"/>
      <c r="P471" s="31"/>
      <c r="Q471" s="344"/>
      <c r="R471" s="275"/>
    </row>
    <row r="472" spans="1:18" s="89" customFormat="1" x14ac:dyDescent="0.2">
      <c r="A472" s="275"/>
      <c r="B472" s="343"/>
      <c r="C472" s="63"/>
      <c r="D472" s="116" t="s">
        <v>142</v>
      </c>
      <c r="E472" s="10" t="s">
        <v>117</v>
      </c>
      <c r="F472" s="474">
        <f>+E464+F467*E467</f>
        <v>48752.473599999998</v>
      </c>
      <c r="G472" s="478"/>
      <c r="H472" s="249">
        <f>+((F472/2)*F471)/6</f>
        <v>16250.824533333333</v>
      </c>
      <c r="I472" s="250"/>
      <c r="J472" s="236"/>
      <c r="K472" s="344"/>
      <c r="L472" s="343"/>
      <c r="M472" s="83"/>
      <c r="N472" s="92"/>
      <c r="O472" s="93">
        <f>H472</f>
        <v>16250.824533333333</v>
      </c>
      <c r="P472" s="88"/>
      <c r="Q472" s="344"/>
      <c r="R472" s="275"/>
    </row>
    <row r="473" spans="1:18" s="89" customFormat="1" x14ac:dyDescent="0.2">
      <c r="A473" s="275"/>
      <c r="B473" s="343"/>
      <c r="C473" s="63"/>
      <c r="D473" s="116" t="s">
        <v>191</v>
      </c>
      <c r="E473" s="244"/>
      <c r="F473" s="474">
        <f>+E464+F467*E467</f>
        <v>48752.473599999998</v>
      </c>
      <c r="G473" s="479"/>
      <c r="H473" s="249">
        <f>+(F473/30)*((F471*30)/20)</f>
        <v>9750.4947199999988</v>
      </c>
      <c r="I473" s="251">
        <v>0</v>
      </c>
      <c r="J473" s="93">
        <f>+(H471+H472+H473)*C464</f>
        <v>221011.21365333331</v>
      </c>
      <c r="K473" s="344"/>
      <c r="L473" s="343"/>
      <c r="M473" s="83"/>
      <c r="N473" s="92"/>
      <c r="O473" s="93">
        <f>H473</f>
        <v>9750.4947199999988</v>
      </c>
      <c r="P473" s="88"/>
      <c r="Q473" s="344"/>
      <c r="R473" s="275"/>
    </row>
    <row r="474" spans="1:18" s="89" customFormat="1" x14ac:dyDescent="0.2">
      <c r="A474" s="275"/>
      <c r="B474" s="343"/>
      <c r="C474" s="63"/>
      <c r="D474" s="488"/>
      <c r="E474" s="492"/>
      <c r="F474" s="486"/>
      <c r="G474" s="483"/>
      <c r="H474" s="453"/>
      <c r="I474" s="253"/>
      <c r="J474" s="79"/>
      <c r="K474" s="344"/>
      <c r="L474" s="343"/>
      <c r="M474" s="87"/>
      <c r="N474" s="79"/>
      <c r="O474" s="79"/>
      <c r="P474" s="88"/>
      <c r="Q474" s="344"/>
      <c r="R474" s="275"/>
    </row>
    <row r="475" spans="1:18" s="89" customFormat="1" ht="15" customHeight="1" x14ac:dyDescent="0.2">
      <c r="A475" s="275"/>
      <c r="B475" s="360"/>
      <c r="C475" s="13">
        <v>1</v>
      </c>
      <c r="D475" s="264" t="s">
        <v>168</v>
      </c>
      <c r="E475" s="489">
        <v>37371.11</v>
      </c>
      <c r="F475" s="486"/>
      <c r="G475" s="480"/>
      <c r="H475" s="481"/>
      <c r="I475" s="254"/>
      <c r="J475" s="146"/>
      <c r="K475" s="361"/>
      <c r="L475" s="360"/>
      <c r="M475" s="87"/>
      <c r="N475" s="79"/>
      <c r="O475" s="79"/>
      <c r="P475" s="88"/>
      <c r="Q475" s="361"/>
      <c r="R475" s="275"/>
    </row>
    <row r="476" spans="1:18" s="89" customFormat="1" x14ac:dyDescent="0.2">
      <c r="A476" s="275"/>
      <c r="B476" s="343"/>
      <c r="C476" s="63"/>
      <c r="D476" s="469" t="s">
        <v>84</v>
      </c>
      <c r="E476" s="490" t="s">
        <v>160</v>
      </c>
      <c r="F476" s="474">
        <f>E475</f>
        <v>37371.11</v>
      </c>
      <c r="G476" s="482">
        <v>1.5</v>
      </c>
      <c r="H476" s="249">
        <f>+G476*F476</f>
        <v>56056.665000000001</v>
      </c>
      <c r="I476" s="253"/>
      <c r="J476" s="79"/>
      <c r="K476" s="344"/>
      <c r="L476" s="343"/>
      <c r="M476" s="83">
        <f>H476</f>
        <v>56056.665000000001</v>
      </c>
      <c r="N476" s="91"/>
      <c r="O476" s="83"/>
      <c r="P476" s="31"/>
      <c r="Q476" s="344"/>
      <c r="R476" s="275"/>
    </row>
    <row r="477" spans="1:18" s="89" customFormat="1" x14ac:dyDescent="0.2">
      <c r="A477" s="275"/>
      <c r="B477" s="343"/>
      <c r="C477" s="63"/>
      <c r="D477" s="469" t="s">
        <v>77</v>
      </c>
      <c r="E477" s="485" t="s">
        <v>160</v>
      </c>
      <c r="F477" s="474">
        <f>E475</f>
        <v>37371.11</v>
      </c>
      <c r="G477" s="482">
        <v>4</v>
      </c>
      <c r="H477" s="249">
        <f>+G477*F477</f>
        <v>149484.44</v>
      </c>
      <c r="I477" s="253"/>
      <c r="J477" s="79"/>
      <c r="K477" s="344"/>
      <c r="L477" s="343"/>
      <c r="M477" s="83"/>
      <c r="N477" s="91">
        <f>H477</f>
        <v>149484.44</v>
      </c>
      <c r="O477" s="83"/>
      <c r="P477" s="31"/>
      <c r="Q477" s="344"/>
      <c r="R477" s="275"/>
    </row>
    <row r="478" spans="1:18" s="89" customFormat="1" x14ac:dyDescent="0.2">
      <c r="A478" s="275"/>
      <c r="B478" s="343"/>
      <c r="C478" s="63"/>
      <c r="D478" s="469" t="s">
        <v>158</v>
      </c>
      <c r="E478" s="247">
        <v>66</v>
      </c>
      <c r="F478" s="474">
        <f>E475/150*1.5</f>
        <v>373.71109999999999</v>
      </c>
      <c r="G478" s="482">
        <f>+F482</f>
        <v>5.5</v>
      </c>
      <c r="H478" s="249">
        <f>+G478*F478*E478</f>
        <v>135657.12929999997</v>
      </c>
      <c r="I478" s="253"/>
      <c r="J478" s="79"/>
      <c r="K478" s="344"/>
      <c r="L478" s="343"/>
      <c r="M478" s="83"/>
      <c r="N478" s="91">
        <f>H478</f>
        <v>135657.12929999997</v>
      </c>
      <c r="O478" s="83"/>
      <c r="P478" s="31"/>
      <c r="Q478" s="344"/>
      <c r="R478" s="275"/>
    </row>
    <row r="479" spans="1:18" s="89" customFormat="1" x14ac:dyDescent="0.2">
      <c r="A479" s="275"/>
      <c r="B479" s="343"/>
      <c r="C479" s="63"/>
      <c r="D479" s="469" t="s">
        <v>14</v>
      </c>
      <c r="E479" s="484" t="s">
        <v>119</v>
      </c>
      <c r="F479" s="474">
        <v>0</v>
      </c>
      <c r="G479" s="249">
        <f>$H$3</f>
        <v>80</v>
      </c>
      <c r="H479" s="249">
        <f>+G479*F479</f>
        <v>0</v>
      </c>
      <c r="I479" s="253"/>
      <c r="J479" s="79"/>
      <c r="K479" s="344"/>
      <c r="L479" s="343"/>
      <c r="M479" s="83"/>
      <c r="N479" s="91">
        <f>H479</f>
        <v>0</v>
      </c>
      <c r="O479" s="83"/>
      <c r="P479" s="31"/>
      <c r="Q479" s="344"/>
      <c r="R479" s="275"/>
    </row>
    <row r="480" spans="1:18" s="89" customFormat="1" x14ac:dyDescent="0.2">
      <c r="A480" s="275"/>
      <c r="B480" s="343"/>
      <c r="C480" s="63"/>
      <c r="D480" s="469" t="s">
        <v>16</v>
      </c>
      <c r="E480" s="484" t="s">
        <v>119</v>
      </c>
      <c r="F480" s="474">
        <v>0</v>
      </c>
      <c r="G480" s="249">
        <f>$H$4</f>
        <v>40</v>
      </c>
      <c r="H480" s="249">
        <f>+G480*F480</f>
        <v>0</v>
      </c>
      <c r="I480" s="253"/>
      <c r="J480" s="79"/>
      <c r="K480" s="344"/>
      <c r="L480" s="343"/>
      <c r="M480" s="83"/>
      <c r="N480" s="91">
        <f>H480</f>
        <v>0</v>
      </c>
      <c r="O480" s="83"/>
      <c r="P480" s="31"/>
      <c r="Q480" s="344"/>
      <c r="R480" s="275"/>
    </row>
    <row r="481" spans="1:18" s="89" customFormat="1" x14ac:dyDescent="0.2">
      <c r="A481" s="275"/>
      <c r="B481" s="343"/>
      <c r="C481" s="63"/>
      <c r="D481" s="469" t="s">
        <v>13</v>
      </c>
      <c r="E481" s="485" t="s">
        <v>161</v>
      </c>
      <c r="F481" s="474">
        <f>E475</f>
        <v>37371.11</v>
      </c>
      <c r="G481" s="249">
        <v>0</v>
      </c>
      <c r="H481" s="249">
        <f>+G481*F481</f>
        <v>0</v>
      </c>
      <c r="I481" s="253"/>
      <c r="J481" s="79"/>
      <c r="K481" s="344"/>
      <c r="L481" s="343"/>
      <c r="M481" s="83"/>
      <c r="N481" s="91"/>
      <c r="O481" s="83">
        <f>SUM(H481)</f>
        <v>0</v>
      </c>
      <c r="P481" s="31"/>
      <c r="Q481" s="344"/>
      <c r="R481" s="275"/>
    </row>
    <row r="482" spans="1:18" s="89" customFormat="1" x14ac:dyDescent="0.2">
      <c r="A482" s="275"/>
      <c r="B482" s="343"/>
      <c r="C482" s="63"/>
      <c r="D482" s="469" t="s">
        <v>157</v>
      </c>
      <c r="E482" s="484" t="s">
        <v>117</v>
      </c>
      <c r="F482" s="486">
        <f>+G476+G477+G481</f>
        <v>5.5</v>
      </c>
      <c r="G482" s="248" t="s">
        <v>143</v>
      </c>
      <c r="H482" s="249">
        <f>SUM(H476:H481)</f>
        <v>341198.23430000001</v>
      </c>
      <c r="I482" s="245"/>
      <c r="J482" s="79"/>
      <c r="K482" s="344"/>
      <c r="L482" s="343"/>
      <c r="M482" s="239"/>
      <c r="N482" s="240"/>
      <c r="O482" s="91"/>
      <c r="P482" s="31"/>
      <c r="Q482" s="344"/>
      <c r="R482" s="275"/>
    </row>
    <row r="483" spans="1:18" s="89" customFormat="1" x14ac:dyDescent="0.2">
      <c r="A483" s="275"/>
      <c r="B483" s="343"/>
      <c r="C483" s="63"/>
      <c r="D483" s="487" t="s">
        <v>142</v>
      </c>
      <c r="E483" s="484" t="s">
        <v>117</v>
      </c>
      <c r="F483" s="474">
        <f>+E475+F478*E478</f>
        <v>62036.042600000001</v>
      </c>
      <c r="G483" s="478"/>
      <c r="H483" s="249">
        <f>+((F483/2)*F482)/6</f>
        <v>28433.186191666668</v>
      </c>
      <c r="I483" s="250"/>
      <c r="J483" s="236"/>
      <c r="K483" s="344"/>
      <c r="L483" s="343"/>
      <c r="M483" s="83"/>
      <c r="N483" s="92"/>
      <c r="O483" s="93">
        <f>H483</f>
        <v>28433.186191666668</v>
      </c>
      <c r="P483" s="88"/>
      <c r="Q483" s="344"/>
      <c r="R483" s="275"/>
    </row>
    <row r="484" spans="1:18" s="89" customFormat="1" x14ac:dyDescent="0.2">
      <c r="A484" s="275"/>
      <c r="B484" s="343"/>
      <c r="C484" s="63"/>
      <c r="D484" s="487" t="s">
        <v>191</v>
      </c>
      <c r="E484" s="474"/>
      <c r="F484" s="474">
        <f>+E475+F478*E478</f>
        <v>62036.042600000001</v>
      </c>
      <c r="G484" s="479"/>
      <c r="H484" s="249">
        <f>+(F484/30)*((F482*30)/20)</f>
        <v>17059.911715000002</v>
      </c>
      <c r="I484" s="251">
        <v>0</v>
      </c>
      <c r="J484" s="93">
        <f>+(H482+H483+H484)*C475</f>
        <v>386691.33220666664</v>
      </c>
      <c r="K484" s="344"/>
      <c r="L484" s="343"/>
      <c r="M484" s="83"/>
      <c r="N484" s="92"/>
      <c r="O484" s="93">
        <f>H484</f>
        <v>17059.911715000002</v>
      </c>
      <c r="P484" s="88"/>
      <c r="Q484" s="344"/>
      <c r="R484" s="275"/>
    </row>
    <row r="485" spans="1:18" s="89" customFormat="1" x14ac:dyDescent="0.2">
      <c r="A485" s="275"/>
      <c r="B485" s="343"/>
      <c r="C485" s="63"/>
      <c r="D485" s="488"/>
      <c r="E485" s="466"/>
      <c r="F485" s="486"/>
      <c r="G485" s="483"/>
      <c r="H485" s="453"/>
      <c r="I485" s="253"/>
      <c r="J485" s="79"/>
      <c r="K485" s="344"/>
      <c r="L485" s="343"/>
      <c r="M485" s="87"/>
      <c r="N485" s="79"/>
      <c r="O485" s="79"/>
      <c r="P485" s="88"/>
      <c r="Q485" s="344"/>
      <c r="R485" s="275"/>
    </row>
    <row r="486" spans="1:18" s="89" customFormat="1" ht="15" customHeight="1" x14ac:dyDescent="0.2">
      <c r="A486" s="275"/>
      <c r="B486" s="360"/>
      <c r="C486" s="13">
        <v>2</v>
      </c>
      <c r="D486" s="264" t="s">
        <v>169</v>
      </c>
      <c r="E486" s="489">
        <v>31896.05</v>
      </c>
      <c r="F486" s="474"/>
      <c r="G486" s="480"/>
      <c r="H486" s="481"/>
      <c r="I486" s="254"/>
      <c r="J486" s="146"/>
      <c r="K486" s="361"/>
      <c r="L486" s="360"/>
      <c r="M486" s="87"/>
      <c r="N486" s="79"/>
      <c r="O486" s="79"/>
      <c r="P486" s="88"/>
      <c r="Q486" s="361"/>
      <c r="R486" s="275"/>
    </row>
    <row r="487" spans="1:18" s="89" customFormat="1" x14ac:dyDescent="0.2">
      <c r="A487" s="275"/>
      <c r="B487" s="343"/>
      <c r="C487" s="63"/>
      <c r="D487" s="469" t="s">
        <v>84</v>
      </c>
      <c r="E487" s="490" t="s">
        <v>160</v>
      </c>
      <c r="F487" s="474">
        <f>E486</f>
        <v>31896.05</v>
      </c>
      <c r="G487" s="482">
        <v>1</v>
      </c>
      <c r="H487" s="249">
        <f>+G487*F487</f>
        <v>31896.05</v>
      </c>
      <c r="I487" s="253"/>
      <c r="J487" s="79"/>
      <c r="K487" s="344"/>
      <c r="L487" s="343"/>
      <c r="M487" s="83">
        <f>H487</f>
        <v>31896.05</v>
      </c>
      <c r="N487" s="91"/>
      <c r="O487" s="83"/>
      <c r="P487" s="31"/>
      <c r="Q487" s="344"/>
      <c r="R487" s="275"/>
    </row>
    <row r="488" spans="1:18" s="89" customFormat="1" x14ac:dyDescent="0.2">
      <c r="A488" s="275"/>
      <c r="B488" s="343"/>
      <c r="C488" s="63"/>
      <c r="D488" s="469" t="s">
        <v>77</v>
      </c>
      <c r="E488" s="485" t="s">
        <v>160</v>
      </c>
      <c r="F488" s="474">
        <f>E486</f>
        <v>31896.05</v>
      </c>
      <c r="G488" s="482">
        <v>4</v>
      </c>
      <c r="H488" s="249">
        <f>+G488*F488</f>
        <v>127584.2</v>
      </c>
      <c r="I488" s="253"/>
      <c r="J488" s="79"/>
      <c r="K488" s="344"/>
      <c r="L488" s="343"/>
      <c r="M488" s="83"/>
      <c r="N488" s="91">
        <f>H488</f>
        <v>127584.2</v>
      </c>
      <c r="O488" s="83"/>
      <c r="P488" s="31"/>
      <c r="Q488" s="344"/>
      <c r="R488" s="275"/>
    </row>
    <row r="489" spans="1:18" s="89" customFormat="1" x14ac:dyDescent="0.2">
      <c r="A489" s="275"/>
      <c r="B489" s="343"/>
      <c r="C489" s="63"/>
      <c r="D489" s="469" t="s">
        <v>158</v>
      </c>
      <c r="E489" s="247">
        <v>66</v>
      </c>
      <c r="F489" s="474">
        <f>E486/150*1.5</f>
        <v>318.96050000000002</v>
      </c>
      <c r="G489" s="482">
        <f>+F493</f>
        <v>5</v>
      </c>
      <c r="H489" s="249">
        <f>+G489*F489*E489</f>
        <v>105256.96500000001</v>
      </c>
      <c r="I489" s="253"/>
      <c r="J489" s="79"/>
      <c r="K489" s="344"/>
      <c r="L489" s="343"/>
      <c r="M489" s="83"/>
      <c r="N489" s="91">
        <f>H489</f>
        <v>105256.96500000001</v>
      </c>
      <c r="O489" s="83"/>
      <c r="P489" s="31"/>
      <c r="Q489" s="344"/>
      <c r="R489" s="275"/>
    </row>
    <row r="490" spans="1:18" s="89" customFormat="1" x14ac:dyDescent="0.2">
      <c r="A490" s="275"/>
      <c r="B490" s="343"/>
      <c r="C490" s="63"/>
      <c r="D490" s="469" t="s">
        <v>14</v>
      </c>
      <c r="E490" s="484" t="s">
        <v>119</v>
      </c>
      <c r="F490" s="474">
        <f>F486/5*1.5</f>
        <v>0</v>
      </c>
      <c r="G490" s="249">
        <f>$H$3</f>
        <v>80</v>
      </c>
      <c r="H490" s="249">
        <f>+G490*F490</f>
        <v>0</v>
      </c>
      <c r="I490" s="253"/>
      <c r="J490" s="79"/>
      <c r="K490" s="344"/>
      <c r="L490" s="343"/>
      <c r="M490" s="83"/>
      <c r="N490" s="91">
        <f>H490</f>
        <v>0</v>
      </c>
      <c r="O490" s="83"/>
      <c r="P490" s="31"/>
      <c r="Q490" s="344"/>
      <c r="R490" s="275"/>
    </row>
    <row r="491" spans="1:18" s="89" customFormat="1" x14ac:dyDescent="0.2">
      <c r="A491" s="275"/>
      <c r="B491" s="343"/>
      <c r="C491" s="63"/>
      <c r="D491" s="469" t="s">
        <v>16</v>
      </c>
      <c r="E491" s="484" t="s">
        <v>119</v>
      </c>
      <c r="F491" s="474">
        <f>F486/5*2</f>
        <v>0</v>
      </c>
      <c r="G491" s="249">
        <f>$H$4</f>
        <v>40</v>
      </c>
      <c r="H491" s="249">
        <f>+G491*F491</f>
        <v>0</v>
      </c>
      <c r="I491" s="253"/>
      <c r="J491" s="79"/>
      <c r="K491" s="344"/>
      <c r="L491" s="343"/>
      <c r="M491" s="83"/>
      <c r="N491" s="91">
        <f>H491</f>
        <v>0</v>
      </c>
      <c r="O491" s="83"/>
      <c r="P491" s="31"/>
      <c r="Q491" s="344"/>
      <c r="R491" s="275"/>
    </row>
    <row r="492" spans="1:18" s="89" customFormat="1" x14ac:dyDescent="0.2">
      <c r="A492" s="275"/>
      <c r="B492" s="343"/>
      <c r="C492" s="63"/>
      <c r="D492" s="469" t="s">
        <v>13</v>
      </c>
      <c r="E492" s="485" t="s">
        <v>161</v>
      </c>
      <c r="F492" s="474">
        <f>F486</f>
        <v>0</v>
      </c>
      <c r="G492" s="249">
        <v>0</v>
      </c>
      <c r="H492" s="249">
        <f>+G492*F492</f>
        <v>0</v>
      </c>
      <c r="I492" s="253"/>
      <c r="J492" s="79"/>
      <c r="K492" s="344"/>
      <c r="L492" s="343"/>
      <c r="M492" s="83"/>
      <c r="N492" s="91"/>
      <c r="O492" s="83">
        <f>SUM(H492)</f>
        <v>0</v>
      </c>
      <c r="P492" s="31"/>
      <c r="Q492" s="344"/>
      <c r="R492" s="275"/>
    </row>
    <row r="493" spans="1:18" s="89" customFormat="1" x14ac:dyDescent="0.2">
      <c r="A493" s="275"/>
      <c r="B493" s="343"/>
      <c r="C493" s="63"/>
      <c r="D493" s="469" t="s">
        <v>157</v>
      </c>
      <c r="E493" s="484" t="s">
        <v>117</v>
      </c>
      <c r="F493" s="486">
        <f>+G487+G488+G492</f>
        <v>5</v>
      </c>
      <c r="G493" s="248" t="s">
        <v>143</v>
      </c>
      <c r="H493" s="249">
        <f>SUM(H487:H492)</f>
        <v>264737.21500000003</v>
      </c>
      <c r="I493" s="245"/>
      <c r="J493" s="79"/>
      <c r="K493" s="344"/>
      <c r="L493" s="343"/>
      <c r="M493" s="239"/>
      <c r="N493" s="240"/>
      <c r="O493" s="91"/>
      <c r="P493" s="31"/>
      <c r="Q493" s="344"/>
      <c r="R493" s="275"/>
    </row>
    <row r="494" spans="1:18" s="89" customFormat="1" x14ac:dyDescent="0.2">
      <c r="A494" s="275"/>
      <c r="B494" s="343"/>
      <c r="C494" s="63"/>
      <c r="D494" s="487" t="s">
        <v>142</v>
      </c>
      <c r="E494" s="484" t="s">
        <v>117</v>
      </c>
      <c r="F494" s="474">
        <f>+E486+F489*E489</f>
        <v>52947.442999999999</v>
      </c>
      <c r="G494" s="478"/>
      <c r="H494" s="249">
        <f>+((F494/2)*F493)/6</f>
        <v>22061.434583333332</v>
      </c>
      <c r="I494" s="250"/>
      <c r="J494" s="236"/>
      <c r="K494" s="344"/>
      <c r="L494" s="343"/>
      <c r="M494" s="83"/>
      <c r="N494" s="92"/>
      <c r="O494" s="93">
        <f>H494</f>
        <v>22061.434583333332</v>
      </c>
      <c r="P494" s="88"/>
      <c r="Q494" s="344"/>
      <c r="R494" s="275"/>
    </row>
    <row r="495" spans="1:18" s="89" customFormat="1" x14ac:dyDescent="0.2">
      <c r="A495" s="275"/>
      <c r="B495" s="343"/>
      <c r="C495" s="63"/>
      <c r="D495" s="487" t="s">
        <v>191</v>
      </c>
      <c r="E495" s="474"/>
      <c r="F495" s="474">
        <f>+E486+F489*E489</f>
        <v>52947.442999999999</v>
      </c>
      <c r="G495" s="479"/>
      <c r="H495" s="249">
        <f>+(F495/30)*((F493*30)/20)</f>
        <v>13236.86075</v>
      </c>
      <c r="I495" s="251">
        <v>0</v>
      </c>
      <c r="J495" s="93">
        <f>+(H493+H494+H495)*C486</f>
        <v>600071.02066666668</v>
      </c>
      <c r="K495" s="344"/>
      <c r="L495" s="343"/>
      <c r="M495" s="83"/>
      <c r="N495" s="92"/>
      <c r="O495" s="93">
        <f>H495</f>
        <v>13236.86075</v>
      </c>
      <c r="P495" s="88"/>
      <c r="Q495" s="344"/>
      <c r="R495" s="275"/>
    </row>
    <row r="496" spans="1:18" s="89" customFormat="1" x14ac:dyDescent="0.2">
      <c r="A496" s="275"/>
      <c r="B496" s="343"/>
      <c r="C496" s="63"/>
      <c r="D496" s="488"/>
      <c r="E496" s="466"/>
      <c r="F496" s="486"/>
      <c r="G496" s="483"/>
      <c r="H496" s="453"/>
      <c r="I496" s="253"/>
      <c r="J496" s="79"/>
      <c r="K496" s="344"/>
      <c r="L496" s="343"/>
      <c r="M496" s="87"/>
      <c r="N496" s="79"/>
      <c r="O496" s="79"/>
      <c r="P496" s="88"/>
      <c r="Q496" s="344"/>
      <c r="R496" s="275"/>
    </row>
    <row r="497" spans="1:18" s="89" customFormat="1" ht="15" customHeight="1" x14ac:dyDescent="0.2">
      <c r="A497" s="275"/>
      <c r="B497" s="360"/>
      <c r="C497" s="13">
        <v>1</v>
      </c>
      <c r="D497" s="264" t="s">
        <v>342</v>
      </c>
      <c r="E497" s="489">
        <v>58032.75</v>
      </c>
      <c r="F497" s="486"/>
      <c r="G497" s="480"/>
      <c r="H497" s="481"/>
      <c r="I497" s="254"/>
      <c r="J497" s="146"/>
      <c r="K497" s="361"/>
      <c r="L497" s="360"/>
      <c r="M497" s="87"/>
      <c r="N497" s="79"/>
      <c r="O497" s="79"/>
      <c r="P497" s="88"/>
      <c r="Q497" s="361"/>
      <c r="R497" s="275"/>
    </row>
    <row r="498" spans="1:18" s="89" customFormat="1" x14ac:dyDescent="0.2">
      <c r="A498" s="275"/>
      <c r="B498" s="343"/>
      <c r="C498" s="63"/>
      <c r="D498" s="75" t="s">
        <v>84</v>
      </c>
      <c r="E498" s="336" t="s">
        <v>160</v>
      </c>
      <c r="F498" s="244">
        <f>E497</f>
        <v>58032.75</v>
      </c>
      <c r="G498" s="62">
        <v>3</v>
      </c>
      <c r="H498" s="249">
        <f>+G498*F498</f>
        <v>174098.25</v>
      </c>
      <c r="I498" s="253"/>
      <c r="J498" s="79"/>
      <c r="K498" s="344"/>
      <c r="L498" s="343"/>
      <c r="M498" s="83">
        <f>H498</f>
        <v>174098.25</v>
      </c>
      <c r="N498" s="91"/>
      <c r="O498" s="83"/>
      <c r="P498" s="31"/>
      <c r="Q498" s="344"/>
      <c r="R498" s="275"/>
    </row>
    <row r="499" spans="1:18" s="89" customFormat="1" x14ac:dyDescent="0.2">
      <c r="A499" s="275"/>
      <c r="B499" s="343"/>
      <c r="C499" s="63"/>
      <c r="D499" s="75" t="s">
        <v>77</v>
      </c>
      <c r="E499" s="337" t="s">
        <v>160</v>
      </c>
      <c r="F499" s="244">
        <f>E497</f>
        <v>58032.75</v>
      </c>
      <c r="G499" s="62">
        <v>4</v>
      </c>
      <c r="H499" s="249">
        <f>+G499*F499</f>
        <v>232131</v>
      </c>
      <c r="I499" s="253"/>
      <c r="J499" s="79"/>
      <c r="K499" s="344"/>
      <c r="L499" s="343"/>
      <c r="M499" s="83"/>
      <c r="N499" s="91">
        <f>H499</f>
        <v>232131</v>
      </c>
      <c r="O499" s="83"/>
      <c r="P499" s="31"/>
      <c r="Q499" s="344"/>
      <c r="R499" s="275"/>
    </row>
    <row r="500" spans="1:18" s="89" customFormat="1" x14ac:dyDescent="0.2">
      <c r="A500" s="275"/>
      <c r="B500" s="343"/>
      <c r="C500" s="63"/>
      <c r="D500" s="75" t="s">
        <v>158</v>
      </c>
      <c r="E500" s="247">
        <v>66</v>
      </c>
      <c r="F500" s="244">
        <f>E497/150*1.5</f>
        <v>580.32749999999999</v>
      </c>
      <c r="G500" s="62">
        <f>+F504</f>
        <v>7</v>
      </c>
      <c r="H500" s="249">
        <f>+G500*F500*E500</f>
        <v>268111.30499999999</v>
      </c>
      <c r="I500" s="253"/>
      <c r="J500" s="79"/>
      <c r="K500" s="344"/>
      <c r="L500" s="343"/>
      <c r="M500" s="83"/>
      <c r="N500" s="91">
        <f>H500</f>
        <v>268111.30499999999</v>
      </c>
      <c r="O500" s="83"/>
      <c r="P500" s="31"/>
      <c r="Q500" s="344"/>
      <c r="R500" s="275"/>
    </row>
    <row r="501" spans="1:18" s="89" customFormat="1" x14ac:dyDescent="0.2">
      <c r="A501" s="275"/>
      <c r="B501" s="343"/>
      <c r="C501" s="63"/>
      <c r="D501" s="75" t="s">
        <v>14</v>
      </c>
      <c r="E501" s="339" t="s">
        <v>119</v>
      </c>
      <c r="F501" s="244">
        <v>0</v>
      </c>
      <c r="G501" s="28">
        <f>$H$3</f>
        <v>80</v>
      </c>
      <c r="H501" s="249">
        <f>+G501*F501</f>
        <v>0</v>
      </c>
      <c r="I501" s="253"/>
      <c r="J501" s="79"/>
      <c r="K501" s="344"/>
      <c r="L501" s="343"/>
      <c r="M501" s="83"/>
      <c r="N501" s="91">
        <f>H501</f>
        <v>0</v>
      </c>
      <c r="O501" s="83"/>
      <c r="P501" s="31"/>
      <c r="Q501" s="344"/>
      <c r="R501" s="275"/>
    </row>
    <row r="502" spans="1:18" s="89" customFormat="1" x14ac:dyDescent="0.2">
      <c r="A502" s="275"/>
      <c r="B502" s="343"/>
      <c r="C502" s="63"/>
      <c r="D502" s="75" t="s">
        <v>16</v>
      </c>
      <c r="E502" s="339" t="s">
        <v>119</v>
      </c>
      <c r="F502" s="244">
        <v>0</v>
      </c>
      <c r="G502" s="28">
        <f>$H$4</f>
        <v>40</v>
      </c>
      <c r="H502" s="249">
        <f>+G502*F502</f>
        <v>0</v>
      </c>
      <c r="I502" s="253"/>
      <c r="J502" s="79"/>
      <c r="K502" s="344"/>
      <c r="L502" s="343"/>
      <c r="M502" s="83"/>
      <c r="N502" s="91">
        <f>H502</f>
        <v>0</v>
      </c>
      <c r="O502" s="83"/>
      <c r="P502" s="31"/>
      <c r="Q502" s="344"/>
      <c r="R502" s="275"/>
    </row>
    <row r="503" spans="1:18" s="89" customFormat="1" x14ac:dyDescent="0.2">
      <c r="A503" s="275"/>
      <c r="B503" s="343"/>
      <c r="C503" s="63"/>
      <c r="D503" s="75" t="s">
        <v>13</v>
      </c>
      <c r="E503" s="337" t="s">
        <v>161</v>
      </c>
      <c r="F503" s="244">
        <f>E497</f>
        <v>58032.75</v>
      </c>
      <c r="G503" s="28">
        <v>0</v>
      </c>
      <c r="H503" s="249">
        <f>+G503*F503</f>
        <v>0</v>
      </c>
      <c r="I503" s="253"/>
      <c r="J503" s="79"/>
      <c r="K503" s="344"/>
      <c r="L503" s="343"/>
      <c r="M503" s="83"/>
      <c r="N503" s="91"/>
      <c r="O503" s="83">
        <f>SUM(H503)</f>
        <v>0</v>
      </c>
      <c r="P503" s="31"/>
      <c r="Q503" s="344"/>
      <c r="R503" s="275"/>
    </row>
    <row r="504" spans="1:18" s="89" customFormat="1" x14ac:dyDescent="0.2">
      <c r="A504" s="275"/>
      <c r="B504" s="343"/>
      <c r="C504" s="63"/>
      <c r="D504" s="75" t="s">
        <v>157</v>
      </c>
      <c r="E504" s="339" t="s">
        <v>117</v>
      </c>
      <c r="F504" s="241">
        <f>+G498+G499+G503</f>
        <v>7</v>
      </c>
      <c r="G504" s="248" t="s">
        <v>143</v>
      </c>
      <c r="H504" s="249">
        <f>SUM(H498:H503)</f>
        <v>674340.55499999993</v>
      </c>
      <c r="I504" s="245"/>
      <c r="J504" s="79"/>
      <c r="K504" s="344"/>
      <c r="L504" s="343"/>
      <c r="M504" s="239"/>
      <c r="N504" s="240"/>
      <c r="O504" s="91"/>
      <c r="P504" s="31"/>
      <c r="Q504" s="344"/>
      <c r="R504" s="275"/>
    </row>
    <row r="505" spans="1:18" s="89" customFormat="1" x14ac:dyDescent="0.2">
      <c r="A505" s="275"/>
      <c r="B505" s="343"/>
      <c r="C505" s="63"/>
      <c r="D505" s="116" t="s">
        <v>142</v>
      </c>
      <c r="E505" s="484" t="s">
        <v>117</v>
      </c>
      <c r="F505" s="474">
        <f>+E497+F500*E500</f>
        <v>96334.364999999991</v>
      </c>
      <c r="G505" s="478"/>
      <c r="H505" s="249">
        <f>+((F505/2)*F504)/6</f>
        <v>56195.046249999992</v>
      </c>
      <c r="I505" s="250"/>
      <c r="J505" s="236"/>
      <c r="K505" s="344"/>
      <c r="L505" s="343"/>
      <c r="M505" s="83"/>
      <c r="N505" s="92"/>
      <c r="O505" s="93">
        <f>H505</f>
        <v>56195.046249999992</v>
      </c>
      <c r="P505" s="88"/>
      <c r="Q505" s="344"/>
      <c r="R505" s="275"/>
    </row>
    <row r="506" spans="1:18" s="89" customFormat="1" x14ac:dyDescent="0.2">
      <c r="A506" s="275"/>
      <c r="B506" s="343"/>
      <c r="C506" s="63"/>
      <c r="D506" s="116" t="s">
        <v>191</v>
      </c>
      <c r="E506" s="474"/>
      <c r="F506" s="474">
        <f>+E497+F500*E500</f>
        <v>96334.364999999991</v>
      </c>
      <c r="G506" s="479"/>
      <c r="H506" s="249">
        <f>+(F506/30)*((F504*30)/20)</f>
        <v>33717.027749999994</v>
      </c>
      <c r="I506" s="251">
        <v>0</v>
      </c>
      <c r="J506" s="93">
        <f>+(H504+H505+H506)*C497</f>
        <v>764252.62899999996</v>
      </c>
      <c r="K506" s="344"/>
      <c r="L506" s="343"/>
      <c r="M506" s="83"/>
      <c r="N506" s="92"/>
      <c r="O506" s="93">
        <f>H506</f>
        <v>33717.027749999994</v>
      </c>
      <c r="P506" s="88"/>
      <c r="Q506" s="344"/>
      <c r="R506" s="275"/>
    </row>
    <row r="507" spans="1:18" s="89" customFormat="1" x14ac:dyDescent="0.2">
      <c r="A507" s="275"/>
      <c r="B507" s="343"/>
      <c r="C507" s="63"/>
      <c r="D507" s="94"/>
      <c r="E507" s="466"/>
      <c r="F507" s="486"/>
      <c r="G507" s="483"/>
      <c r="H507" s="453"/>
      <c r="I507" s="253"/>
      <c r="J507" s="79"/>
      <c r="K507" s="344"/>
      <c r="L507" s="343"/>
      <c r="M507" s="87"/>
      <c r="N507" s="79"/>
      <c r="O507" s="79"/>
      <c r="P507" s="88"/>
      <c r="Q507" s="344"/>
      <c r="R507" s="275"/>
    </row>
    <row r="508" spans="1:18" s="89" customFormat="1" ht="15" customHeight="1" x14ac:dyDescent="0.2">
      <c r="A508" s="411"/>
      <c r="B508" s="360"/>
      <c r="C508" s="13">
        <v>1</v>
      </c>
      <c r="D508" s="260" t="s">
        <v>171</v>
      </c>
      <c r="E508" s="489">
        <v>37371.11</v>
      </c>
      <c r="F508" s="486"/>
      <c r="G508" s="480"/>
      <c r="H508" s="481"/>
      <c r="I508" s="254"/>
      <c r="J508" s="146"/>
      <c r="K508" s="361"/>
      <c r="L508" s="360"/>
      <c r="M508" s="87"/>
      <c r="N508" s="79"/>
      <c r="O508" s="79"/>
      <c r="P508" s="88"/>
      <c r="Q508" s="361"/>
      <c r="R508" s="411"/>
    </row>
    <row r="509" spans="1:18" s="89" customFormat="1" x14ac:dyDescent="0.2">
      <c r="A509" s="411"/>
      <c r="B509" s="343"/>
      <c r="C509" s="63"/>
      <c r="D509" s="75" t="s">
        <v>84</v>
      </c>
      <c r="E509" s="490" t="s">
        <v>160</v>
      </c>
      <c r="F509" s="474">
        <f>E508</f>
        <v>37371.11</v>
      </c>
      <c r="G509" s="482">
        <v>3</v>
      </c>
      <c r="H509" s="249">
        <f>+G509*F509</f>
        <v>112113.33</v>
      </c>
      <c r="I509" s="253"/>
      <c r="J509" s="79"/>
      <c r="K509" s="344"/>
      <c r="L509" s="343"/>
      <c r="M509" s="83">
        <f>H509</f>
        <v>112113.33</v>
      </c>
      <c r="N509" s="91"/>
      <c r="O509" s="83"/>
      <c r="P509" s="31"/>
      <c r="Q509" s="344"/>
      <c r="R509" s="411"/>
    </row>
    <row r="510" spans="1:18" s="89" customFormat="1" x14ac:dyDescent="0.2">
      <c r="A510" s="411"/>
      <c r="B510" s="343"/>
      <c r="C510" s="63"/>
      <c r="D510" s="75" t="s">
        <v>77</v>
      </c>
      <c r="E510" s="485" t="s">
        <v>160</v>
      </c>
      <c r="F510" s="474">
        <f>E508</f>
        <v>37371.11</v>
      </c>
      <c r="G510" s="482">
        <v>4</v>
      </c>
      <c r="H510" s="249">
        <f>+G510*F510</f>
        <v>149484.44</v>
      </c>
      <c r="I510" s="253"/>
      <c r="J510" s="79"/>
      <c r="K510" s="344"/>
      <c r="L510" s="343"/>
      <c r="M510" s="83"/>
      <c r="N510" s="91">
        <f>H510</f>
        <v>149484.44</v>
      </c>
      <c r="O510" s="83"/>
      <c r="P510" s="31"/>
      <c r="Q510" s="344"/>
      <c r="R510" s="411"/>
    </row>
    <row r="511" spans="1:18" s="89" customFormat="1" x14ac:dyDescent="0.2">
      <c r="A511" s="411"/>
      <c r="B511" s="343"/>
      <c r="C511" s="63"/>
      <c r="D511" s="75" t="s">
        <v>158</v>
      </c>
      <c r="E511" s="247">
        <v>66</v>
      </c>
      <c r="F511" s="474">
        <f>E508/150*1.5</f>
        <v>373.71109999999999</v>
      </c>
      <c r="G511" s="482">
        <f>+F515</f>
        <v>7.5</v>
      </c>
      <c r="H511" s="249">
        <f>+G511*F511*E511</f>
        <v>184986.99449999997</v>
      </c>
      <c r="I511" s="253"/>
      <c r="J511" s="79"/>
      <c r="K511" s="344"/>
      <c r="L511" s="343"/>
      <c r="M511" s="83"/>
      <c r="N511" s="91">
        <f>H511</f>
        <v>184986.99449999997</v>
      </c>
      <c r="O511" s="83"/>
      <c r="P511" s="31"/>
      <c r="Q511" s="344"/>
      <c r="R511" s="411"/>
    </row>
    <row r="512" spans="1:18" s="89" customFormat="1" x14ac:dyDescent="0.2">
      <c r="A512" s="411"/>
      <c r="B512" s="343"/>
      <c r="C512" s="63"/>
      <c r="D512" s="75" t="s">
        <v>14</v>
      </c>
      <c r="E512" s="484" t="s">
        <v>119</v>
      </c>
      <c r="F512" s="474">
        <v>0</v>
      </c>
      <c r="G512" s="249">
        <f>$H$3</f>
        <v>80</v>
      </c>
      <c r="H512" s="249">
        <f>+G512*F512</f>
        <v>0</v>
      </c>
      <c r="I512" s="253"/>
      <c r="J512" s="79"/>
      <c r="K512" s="344"/>
      <c r="L512" s="343"/>
      <c r="M512" s="83"/>
      <c r="N512" s="91">
        <f>H512</f>
        <v>0</v>
      </c>
      <c r="O512" s="83"/>
      <c r="P512" s="31"/>
      <c r="Q512" s="344"/>
      <c r="R512" s="411"/>
    </row>
    <row r="513" spans="1:18" s="89" customFormat="1" x14ac:dyDescent="0.2">
      <c r="A513" s="411"/>
      <c r="B513" s="343"/>
      <c r="C513" s="63"/>
      <c r="D513" s="75" t="s">
        <v>16</v>
      </c>
      <c r="E513" s="484" t="s">
        <v>119</v>
      </c>
      <c r="F513" s="474">
        <v>0</v>
      </c>
      <c r="G513" s="249">
        <f>$H$4</f>
        <v>40</v>
      </c>
      <c r="H513" s="249">
        <f>+G513*F513</f>
        <v>0</v>
      </c>
      <c r="I513" s="253"/>
      <c r="J513" s="79"/>
      <c r="K513" s="344"/>
      <c r="L513" s="343"/>
      <c r="M513" s="83"/>
      <c r="N513" s="91">
        <f>H513</f>
        <v>0</v>
      </c>
      <c r="O513" s="83"/>
      <c r="P513" s="31"/>
      <c r="Q513" s="344"/>
      <c r="R513" s="411"/>
    </row>
    <row r="514" spans="1:18" s="89" customFormat="1" x14ac:dyDescent="0.2">
      <c r="A514" s="411"/>
      <c r="B514" s="343"/>
      <c r="C514" s="63"/>
      <c r="D514" s="75" t="s">
        <v>13</v>
      </c>
      <c r="E514" s="485" t="s">
        <v>161</v>
      </c>
      <c r="F514" s="474">
        <f>E508</f>
        <v>37371.11</v>
      </c>
      <c r="G514" s="482">
        <v>0.5</v>
      </c>
      <c r="H514" s="249">
        <f>+G514*F514</f>
        <v>18685.555</v>
      </c>
      <c r="I514" s="253"/>
      <c r="J514" s="79"/>
      <c r="K514" s="344"/>
      <c r="L514" s="343"/>
      <c r="M514" s="83"/>
      <c r="N514" s="91"/>
      <c r="O514" s="83">
        <f>SUM(H514)</f>
        <v>18685.555</v>
      </c>
      <c r="P514" s="31"/>
      <c r="Q514" s="344"/>
      <c r="R514" s="411"/>
    </row>
    <row r="515" spans="1:18" s="89" customFormat="1" x14ac:dyDescent="0.2">
      <c r="A515" s="411"/>
      <c r="B515" s="343"/>
      <c r="C515" s="63"/>
      <c r="D515" s="75" t="s">
        <v>157</v>
      </c>
      <c r="E515" s="484" t="s">
        <v>117</v>
      </c>
      <c r="F515" s="486">
        <f>+G509+G510+G514</f>
        <v>7.5</v>
      </c>
      <c r="G515" s="248" t="s">
        <v>143</v>
      </c>
      <c r="H515" s="249">
        <f>SUM(H509:H514)</f>
        <v>465270.31949999998</v>
      </c>
      <c r="I515" s="245"/>
      <c r="J515" s="79"/>
      <c r="K515" s="344"/>
      <c r="L515" s="343"/>
      <c r="M515" s="239"/>
      <c r="N515" s="240"/>
      <c r="O515" s="91"/>
      <c r="P515" s="31"/>
      <c r="Q515" s="344"/>
      <c r="R515" s="411"/>
    </row>
    <row r="516" spans="1:18" s="89" customFormat="1" x14ac:dyDescent="0.2">
      <c r="A516" s="411"/>
      <c r="B516" s="343"/>
      <c r="C516" s="63"/>
      <c r="D516" s="116" t="s">
        <v>142</v>
      </c>
      <c r="E516" s="484" t="s">
        <v>117</v>
      </c>
      <c r="F516" s="474">
        <f>+E508+F511*E511</f>
        <v>62036.042600000001</v>
      </c>
      <c r="G516" s="478"/>
      <c r="H516" s="249">
        <f>+((F516/2)*F515)/6</f>
        <v>38772.526624999999</v>
      </c>
      <c r="I516" s="250"/>
      <c r="J516" s="236"/>
      <c r="K516" s="344"/>
      <c r="L516" s="343"/>
      <c r="M516" s="83"/>
      <c r="N516" s="92"/>
      <c r="O516" s="93">
        <f>H516</f>
        <v>38772.526624999999</v>
      </c>
      <c r="P516" s="88"/>
      <c r="Q516" s="344"/>
      <c r="R516" s="411"/>
    </row>
    <row r="517" spans="1:18" s="89" customFormat="1" x14ac:dyDescent="0.2">
      <c r="A517" s="411"/>
      <c r="B517" s="343"/>
      <c r="C517" s="63"/>
      <c r="D517" s="116" t="s">
        <v>191</v>
      </c>
      <c r="E517" s="474"/>
      <c r="F517" s="474">
        <f>+E508+F511*E511</f>
        <v>62036.042600000001</v>
      </c>
      <c r="G517" s="479"/>
      <c r="H517" s="249">
        <f>+(F517/30)*((F515*30)/20)</f>
        <v>23263.515975000002</v>
      </c>
      <c r="I517" s="251">
        <v>0</v>
      </c>
      <c r="J517" s="93">
        <f>+(H515+H516+H517)*C508</f>
        <v>527306.36210000003</v>
      </c>
      <c r="K517" s="344"/>
      <c r="L517" s="343"/>
      <c r="M517" s="83"/>
      <c r="N517" s="92"/>
      <c r="O517" s="93">
        <f>H517</f>
        <v>23263.515975000002</v>
      </c>
      <c r="P517" s="88"/>
      <c r="Q517" s="344"/>
      <c r="R517" s="411"/>
    </row>
    <row r="518" spans="1:18" s="89" customFormat="1" x14ac:dyDescent="0.2">
      <c r="A518" s="411"/>
      <c r="B518" s="343"/>
      <c r="C518" s="63"/>
      <c r="D518" s="94"/>
      <c r="E518" s="466"/>
      <c r="F518" s="486"/>
      <c r="G518" s="483"/>
      <c r="H518" s="453"/>
      <c r="I518" s="253"/>
      <c r="J518" s="79"/>
      <c r="K518" s="344"/>
      <c r="L518" s="343"/>
      <c r="M518" s="87"/>
      <c r="N518" s="79"/>
      <c r="O518" s="79"/>
      <c r="P518" s="88"/>
      <c r="Q518" s="344"/>
      <c r="R518" s="411"/>
    </row>
    <row r="519" spans="1:18" s="89" customFormat="1" ht="15" customHeight="1" x14ac:dyDescent="0.2">
      <c r="A519" s="411"/>
      <c r="B519" s="360"/>
      <c r="C519" s="13">
        <v>1</v>
      </c>
      <c r="D519" s="260" t="s">
        <v>172</v>
      </c>
      <c r="E519" s="489">
        <v>31896.05</v>
      </c>
      <c r="F519" s="486"/>
      <c r="G519" s="480"/>
      <c r="H519" s="481"/>
      <c r="I519" s="254"/>
      <c r="J519" s="146"/>
      <c r="K519" s="361"/>
      <c r="L519" s="360"/>
      <c r="M519" s="87"/>
      <c r="N519" s="79"/>
      <c r="O519" s="79"/>
      <c r="P519" s="88"/>
      <c r="Q519" s="361"/>
      <c r="R519" s="411"/>
    </row>
    <row r="520" spans="1:18" s="89" customFormat="1" x14ac:dyDescent="0.2">
      <c r="A520" s="411"/>
      <c r="B520" s="343"/>
      <c r="C520" s="63"/>
      <c r="D520" s="75" t="s">
        <v>84</v>
      </c>
      <c r="E520" s="490" t="s">
        <v>160</v>
      </c>
      <c r="F520" s="474">
        <f>E519</f>
        <v>31896.05</v>
      </c>
      <c r="G520" s="482">
        <v>2</v>
      </c>
      <c r="H520" s="249">
        <f>+G520*F520</f>
        <v>63792.1</v>
      </c>
      <c r="I520" s="253"/>
      <c r="J520" s="79"/>
      <c r="K520" s="344"/>
      <c r="L520" s="343"/>
      <c r="M520" s="83">
        <f>H520</f>
        <v>63792.1</v>
      </c>
      <c r="N520" s="91"/>
      <c r="O520" s="83"/>
      <c r="P520" s="31"/>
      <c r="Q520" s="344"/>
      <c r="R520" s="411"/>
    </row>
    <row r="521" spans="1:18" s="89" customFormat="1" x14ac:dyDescent="0.2">
      <c r="A521" s="411"/>
      <c r="B521" s="343"/>
      <c r="C521" s="63"/>
      <c r="D521" s="75" t="s">
        <v>77</v>
      </c>
      <c r="E521" s="485" t="s">
        <v>160</v>
      </c>
      <c r="F521" s="474">
        <f>E519</f>
        <v>31896.05</v>
      </c>
      <c r="G521" s="482">
        <v>4</v>
      </c>
      <c r="H521" s="249">
        <f>+G521*F521</f>
        <v>127584.2</v>
      </c>
      <c r="I521" s="253"/>
      <c r="J521" s="79"/>
      <c r="K521" s="344"/>
      <c r="L521" s="343"/>
      <c r="M521" s="83"/>
      <c r="N521" s="91">
        <f>H521</f>
        <v>127584.2</v>
      </c>
      <c r="O521" s="83"/>
      <c r="P521" s="31"/>
      <c r="Q521" s="344"/>
      <c r="R521" s="411"/>
    </row>
    <row r="522" spans="1:18" s="89" customFormat="1" x14ac:dyDescent="0.2">
      <c r="A522" s="411"/>
      <c r="B522" s="343"/>
      <c r="C522" s="63"/>
      <c r="D522" s="75" t="s">
        <v>158</v>
      </c>
      <c r="E522" s="247">
        <v>66</v>
      </c>
      <c r="F522" s="474">
        <f>E519/150*1.5</f>
        <v>318.96050000000002</v>
      </c>
      <c r="G522" s="482">
        <f>+F526</f>
        <v>6.5</v>
      </c>
      <c r="H522" s="249">
        <f>+G522*F522*E522</f>
        <v>136834.0545</v>
      </c>
      <c r="I522" s="253"/>
      <c r="J522" s="79"/>
      <c r="K522" s="344"/>
      <c r="L522" s="343"/>
      <c r="M522" s="83"/>
      <c r="N522" s="91">
        <f>H522</f>
        <v>136834.0545</v>
      </c>
      <c r="O522" s="83"/>
      <c r="P522" s="31"/>
      <c r="Q522" s="344"/>
      <c r="R522" s="411"/>
    </row>
    <row r="523" spans="1:18" s="89" customFormat="1" x14ac:dyDescent="0.2">
      <c r="A523" s="411"/>
      <c r="B523" s="343"/>
      <c r="C523" s="63"/>
      <c r="D523" s="75" t="s">
        <v>14</v>
      </c>
      <c r="E523" s="484" t="s">
        <v>119</v>
      </c>
      <c r="F523" s="474">
        <v>0</v>
      </c>
      <c r="G523" s="249">
        <f>$H$3</f>
        <v>80</v>
      </c>
      <c r="H523" s="249">
        <f>+G523*F523</f>
        <v>0</v>
      </c>
      <c r="I523" s="253"/>
      <c r="J523" s="79"/>
      <c r="K523" s="344"/>
      <c r="L523" s="343"/>
      <c r="M523" s="83"/>
      <c r="N523" s="91">
        <f>H523</f>
        <v>0</v>
      </c>
      <c r="O523" s="83"/>
      <c r="P523" s="31"/>
      <c r="Q523" s="344"/>
      <c r="R523" s="411"/>
    </row>
    <row r="524" spans="1:18" s="89" customFormat="1" x14ac:dyDescent="0.2">
      <c r="A524" s="411"/>
      <c r="B524" s="343"/>
      <c r="C524" s="63"/>
      <c r="D524" s="75" t="s">
        <v>16</v>
      </c>
      <c r="E524" s="484" t="s">
        <v>119</v>
      </c>
      <c r="F524" s="474">
        <v>0</v>
      </c>
      <c r="G524" s="249">
        <f>$H$4</f>
        <v>40</v>
      </c>
      <c r="H524" s="249">
        <f>+G524*F524</f>
        <v>0</v>
      </c>
      <c r="I524" s="253"/>
      <c r="J524" s="79"/>
      <c r="K524" s="344"/>
      <c r="L524" s="343"/>
      <c r="M524" s="83"/>
      <c r="N524" s="91">
        <f>H524</f>
        <v>0</v>
      </c>
      <c r="O524" s="83"/>
      <c r="P524" s="31"/>
      <c r="Q524" s="344"/>
      <c r="R524" s="411"/>
    </row>
    <row r="525" spans="1:18" s="89" customFormat="1" x14ac:dyDescent="0.2">
      <c r="A525" s="411"/>
      <c r="B525" s="343"/>
      <c r="C525" s="63"/>
      <c r="D525" s="75" t="s">
        <v>13</v>
      </c>
      <c r="E525" s="485" t="s">
        <v>161</v>
      </c>
      <c r="F525" s="474">
        <f>E519</f>
        <v>31896.05</v>
      </c>
      <c r="G525" s="482">
        <v>0.5</v>
      </c>
      <c r="H525" s="249">
        <f>+G525*F525</f>
        <v>15948.025</v>
      </c>
      <c r="I525" s="253"/>
      <c r="J525" s="79"/>
      <c r="K525" s="344"/>
      <c r="L525" s="343"/>
      <c r="M525" s="83"/>
      <c r="N525" s="91"/>
      <c r="O525" s="83">
        <f>SUM(H525)</f>
        <v>15948.025</v>
      </c>
      <c r="P525" s="31"/>
      <c r="Q525" s="344"/>
      <c r="R525" s="411"/>
    </row>
    <row r="526" spans="1:18" s="89" customFormat="1" x14ac:dyDescent="0.2">
      <c r="A526" s="411"/>
      <c r="B526" s="343"/>
      <c r="C526" s="63"/>
      <c r="D526" s="75" t="s">
        <v>157</v>
      </c>
      <c r="E526" s="484" t="s">
        <v>117</v>
      </c>
      <c r="F526" s="486">
        <f>+G520+G521+G525</f>
        <v>6.5</v>
      </c>
      <c r="G526" s="248" t="s">
        <v>143</v>
      </c>
      <c r="H526" s="249">
        <f>SUM(H520:H525)</f>
        <v>344158.37950000004</v>
      </c>
      <c r="I526" s="245"/>
      <c r="J526" s="79"/>
      <c r="K526" s="344"/>
      <c r="L526" s="343"/>
      <c r="M526" s="239"/>
      <c r="N526" s="240"/>
      <c r="O526" s="91"/>
      <c r="P526" s="31"/>
      <c r="Q526" s="344"/>
      <c r="R526" s="411"/>
    </row>
    <row r="527" spans="1:18" s="89" customFormat="1" x14ac:dyDescent="0.2">
      <c r="A527" s="411"/>
      <c r="B527" s="343"/>
      <c r="C527" s="63"/>
      <c r="D527" s="116" t="s">
        <v>142</v>
      </c>
      <c r="E527" s="484" t="s">
        <v>117</v>
      </c>
      <c r="F527" s="474">
        <f>+E519+F522*E522</f>
        <v>52947.442999999999</v>
      </c>
      <c r="G527" s="478"/>
      <c r="H527" s="249">
        <f>+((F527/2)*F526)/6</f>
        <v>28679.864958333332</v>
      </c>
      <c r="I527" s="250"/>
      <c r="J527" s="236"/>
      <c r="K527" s="344"/>
      <c r="L527" s="343"/>
      <c r="M527" s="83"/>
      <c r="N527" s="92"/>
      <c r="O527" s="93">
        <f>H527</f>
        <v>28679.864958333332</v>
      </c>
      <c r="P527" s="88"/>
      <c r="Q527" s="344"/>
      <c r="R527" s="411"/>
    </row>
    <row r="528" spans="1:18" s="89" customFormat="1" x14ac:dyDescent="0.2">
      <c r="A528" s="411"/>
      <c r="B528" s="343"/>
      <c r="C528" s="63"/>
      <c r="D528" s="116" t="s">
        <v>191</v>
      </c>
      <c r="E528" s="474"/>
      <c r="F528" s="474">
        <f>+E519+F522*E522</f>
        <v>52947.442999999999</v>
      </c>
      <c r="G528" s="479"/>
      <c r="H528" s="249">
        <f>+(F528/30)*((F526*30)/20)</f>
        <v>17207.918975000001</v>
      </c>
      <c r="I528" s="251">
        <v>0</v>
      </c>
      <c r="J528" s="93">
        <f>+(H526+H527+H528)*C519</f>
        <v>390046.16343333333</v>
      </c>
      <c r="K528" s="344"/>
      <c r="L528" s="343"/>
      <c r="M528" s="83"/>
      <c r="N528" s="92"/>
      <c r="O528" s="93">
        <f>H528</f>
        <v>17207.918975000001</v>
      </c>
      <c r="P528" s="88"/>
      <c r="Q528" s="344"/>
      <c r="R528" s="411"/>
    </row>
    <row r="529" spans="1:18" s="89" customFormat="1" x14ac:dyDescent="0.2">
      <c r="A529" s="411"/>
      <c r="B529" s="343"/>
      <c r="C529" s="63"/>
      <c r="D529" s="94"/>
      <c r="E529" s="466"/>
      <c r="F529" s="486"/>
      <c r="G529" s="483"/>
      <c r="H529" s="453"/>
      <c r="I529" s="253"/>
      <c r="J529" s="79"/>
      <c r="K529" s="344"/>
      <c r="L529" s="343"/>
      <c r="M529" s="87"/>
      <c r="N529" s="79"/>
      <c r="O529" s="79"/>
      <c r="P529" s="88"/>
      <c r="Q529" s="344"/>
      <c r="R529" s="411"/>
    </row>
    <row r="530" spans="1:18" s="89" customFormat="1" ht="15" customHeight="1" x14ac:dyDescent="0.2">
      <c r="A530" s="275"/>
      <c r="B530" s="360"/>
      <c r="C530" s="13">
        <v>1</v>
      </c>
      <c r="D530" s="260" t="s">
        <v>173</v>
      </c>
      <c r="E530" s="489">
        <v>34474.22</v>
      </c>
      <c r="F530" s="486"/>
      <c r="G530" s="480"/>
      <c r="H530" s="481"/>
      <c r="I530" s="254"/>
      <c r="J530" s="146"/>
      <c r="K530" s="361"/>
      <c r="L530" s="360"/>
      <c r="M530" s="87"/>
      <c r="N530" s="79"/>
      <c r="O530" s="79"/>
      <c r="P530" s="88"/>
      <c r="Q530" s="361"/>
      <c r="R530" s="275"/>
    </row>
    <row r="531" spans="1:18" s="89" customFormat="1" x14ac:dyDescent="0.2">
      <c r="A531" s="275"/>
      <c r="B531" s="343"/>
      <c r="C531" s="63"/>
      <c r="D531" s="75" t="s">
        <v>84</v>
      </c>
      <c r="E531" s="336" t="s">
        <v>160</v>
      </c>
      <c r="F531" s="244">
        <f>E530</f>
        <v>34474.22</v>
      </c>
      <c r="G531" s="62">
        <v>2</v>
      </c>
      <c r="H531" s="249">
        <f>+G531*F531</f>
        <v>68948.44</v>
      </c>
      <c r="I531" s="253"/>
      <c r="J531" s="79"/>
      <c r="K531" s="344"/>
      <c r="L531" s="343"/>
      <c r="M531" s="83">
        <f>H531</f>
        <v>68948.44</v>
      </c>
      <c r="N531" s="91"/>
      <c r="O531" s="83"/>
      <c r="P531" s="31"/>
      <c r="Q531" s="344"/>
      <c r="R531" s="275"/>
    </row>
    <row r="532" spans="1:18" s="89" customFormat="1" x14ac:dyDescent="0.2">
      <c r="A532" s="275"/>
      <c r="B532" s="343"/>
      <c r="C532" s="63"/>
      <c r="D532" s="75" t="s">
        <v>77</v>
      </c>
      <c r="E532" s="337" t="s">
        <v>160</v>
      </c>
      <c r="F532" s="244">
        <f>E530</f>
        <v>34474.22</v>
      </c>
      <c r="G532" s="62">
        <v>4</v>
      </c>
      <c r="H532" s="249">
        <f>+G532*F532</f>
        <v>137896.88</v>
      </c>
      <c r="I532" s="253"/>
      <c r="J532" s="79"/>
      <c r="K532" s="344"/>
      <c r="L532" s="343"/>
      <c r="M532" s="83"/>
      <c r="N532" s="91">
        <f>H532</f>
        <v>137896.88</v>
      </c>
      <c r="O532" s="83"/>
      <c r="P532" s="31"/>
      <c r="Q532" s="344"/>
      <c r="R532" s="275"/>
    </row>
    <row r="533" spans="1:18" s="89" customFormat="1" x14ac:dyDescent="0.2">
      <c r="A533" s="275"/>
      <c r="B533" s="343"/>
      <c r="C533" s="63"/>
      <c r="D533" s="75" t="s">
        <v>158</v>
      </c>
      <c r="E533" s="247">
        <v>66</v>
      </c>
      <c r="F533" s="244">
        <f>E530/150*1.5</f>
        <v>344.74220000000003</v>
      </c>
      <c r="G533" s="62">
        <f>+F537</f>
        <v>6.5</v>
      </c>
      <c r="H533" s="249">
        <f>+G533*F533*E533</f>
        <v>147894.40380000003</v>
      </c>
      <c r="I533" s="253"/>
      <c r="J533" s="79"/>
      <c r="K533" s="344"/>
      <c r="L533" s="343"/>
      <c r="M533" s="83"/>
      <c r="N533" s="91">
        <f>H533</f>
        <v>147894.40380000003</v>
      </c>
      <c r="O533" s="83"/>
      <c r="P533" s="31"/>
      <c r="Q533" s="344"/>
      <c r="R533" s="275"/>
    </row>
    <row r="534" spans="1:18" s="89" customFormat="1" x14ac:dyDescent="0.2">
      <c r="A534" s="275"/>
      <c r="B534" s="343"/>
      <c r="C534" s="63"/>
      <c r="D534" s="75" t="s">
        <v>14</v>
      </c>
      <c r="E534" s="339" t="s">
        <v>119</v>
      </c>
      <c r="F534" s="474">
        <v>0</v>
      </c>
      <c r="G534" s="249">
        <f>$H$3</f>
        <v>80</v>
      </c>
      <c r="H534" s="249">
        <f>+G534*F534</f>
        <v>0</v>
      </c>
      <c r="I534" s="253"/>
      <c r="J534" s="79"/>
      <c r="K534" s="344"/>
      <c r="L534" s="343"/>
      <c r="M534" s="83"/>
      <c r="N534" s="91">
        <f>H534</f>
        <v>0</v>
      </c>
      <c r="O534" s="83"/>
      <c r="P534" s="31"/>
      <c r="Q534" s="344"/>
      <c r="R534" s="275"/>
    </row>
    <row r="535" spans="1:18" s="89" customFormat="1" x14ac:dyDescent="0.2">
      <c r="A535" s="275"/>
      <c r="B535" s="343"/>
      <c r="C535" s="63"/>
      <c r="D535" s="75" t="s">
        <v>16</v>
      </c>
      <c r="E535" s="339" t="s">
        <v>119</v>
      </c>
      <c r="F535" s="474">
        <v>0</v>
      </c>
      <c r="G535" s="249">
        <f>$H$4</f>
        <v>40</v>
      </c>
      <c r="H535" s="249">
        <f>+G535*F535</f>
        <v>0</v>
      </c>
      <c r="I535" s="253"/>
      <c r="J535" s="79"/>
      <c r="K535" s="344"/>
      <c r="L535" s="343"/>
      <c r="M535" s="83"/>
      <c r="N535" s="91">
        <f>H535</f>
        <v>0</v>
      </c>
      <c r="O535" s="83"/>
      <c r="P535" s="31"/>
      <c r="Q535" s="344"/>
      <c r="R535" s="275"/>
    </row>
    <row r="536" spans="1:18" s="89" customFormat="1" x14ac:dyDescent="0.2">
      <c r="A536" s="275"/>
      <c r="B536" s="343"/>
      <c r="C536" s="63"/>
      <c r="D536" s="75" t="s">
        <v>13</v>
      </c>
      <c r="E536" s="337" t="s">
        <v>161</v>
      </c>
      <c r="F536" s="474">
        <f>E530</f>
        <v>34474.22</v>
      </c>
      <c r="G536" s="482">
        <v>0.5</v>
      </c>
      <c r="H536" s="249">
        <f>+G536*F536</f>
        <v>17237.11</v>
      </c>
      <c r="I536" s="253"/>
      <c r="J536" s="79"/>
      <c r="K536" s="344"/>
      <c r="L536" s="343"/>
      <c r="M536" s="83"/>
      <c r="N536" s="91"/>
      <c r="O536" s="83">
        <f>SUM(H536)</f>
        <v>17237.11</v>
      </c>
      <c r="P536" s="31"/>
      <c r="Q536" s="344"/>
      <c r="R536" s="275"/>
    </row>
    <row r="537" spans="1:18" s="89" customFormat="1" x14ac:dyDescent="0.2">
      <c r="A537" s="275"/>
      <c r="B537" s="343"/>
      <c r="C537" s="63"/>
      <c r="D537" s="75" t="s">
        <v>157</v>
      </c>
      <c r="E537" s="339" t="s">
        <v>117</v>
      </c>
      <c r="F537" s="486">
        <f>+G531+G532+G536</f>
        <v>6.5</v>
      </c>
      <c r="G537" s="248" t="s">
        <v>143</v>
      </c>
      <c r="H537" s="249">
        <f>SUM(H531:H536)</f>
        <v>371976.83380000002</v>
      </c>
      <c r="I537" s="245"/>
      <c r="J537" s="79"/>
      <c r="K537" s="344"/>
      <c r="L537" s="343"/>
      <c r="M537" s="239"/>
      <c r="N537" s="240"/>
      <c r="O537" s="91"/>
      <c r="P537" s="31"/>
      <c r="Q537" s="344"/>
      <c r="R537" s="275"/>
    </row>
    <row r="538" spans="1:18" s="89" customFormat="1" x14ac:dyDescent="0.2">
      <c r="A538" s="275"/>
      <c r="B538" s="343"/>
      <c r="C538" s="63"/>
      <c r="D538" s="116" t="s">
        <v>142</v>
      </c>
      <c r="E538" s="339" t="s">
        <v>117</v>
      </c>
      <c r="F538" s="474">
        <f>+E530+F533*E533</f>
        <v>57227.205200000004</v>
      </c>
      <c r="G538" s="478"/>
      <c r="H538" s="249">
        <f>+((F538/2)*F537)/6</f>
        <v>30998.069483333336</v>
      </c>
      <c r="I538" s="250"/>
      <c r="J538" s="236"/>
      <c r="K538" s="344"/>
      <c r="L538" s="343"/>
      <c r="M538" s="83"/>
      <c r="N538" s="92"/>
      <c r="O538" s="93">
        <f>H538</f>
        <v>30998.069483333336</v>
      </c>
      <c r="P538" s="88"/>
      <c r="Q538" s="344"/>
      <c r="R538" s="275"/>
    </row>
    <row r="539" spans="1:18" s="89" customFormat="1" x14ac:dyDescent="0.2">
      <c r="A539" s="275"/>
      <c r="B539" s="343"/>
      <c r="C539" s="63"/>
      <c r="D539" s="116" t="s">
        <v>191</v>
      </c>
      <c r="E539" s="244"/>
      <c r="F539" s="474">
        <f>+E530+F533*E533</f>
        <v>57227.205200000004</v>
      </c>
      <c r="G539" s="479"/>
      <c r="H539" s="249">
        <f>+(F539/30)*((F537*30)/20)</f>
        <v>18598.841690000001</v>
      </c>
      <c r="I539" s="251">
        <v>0</v>
      </c>
      <c r="J539" s="93">
        <f>+(H537+H538+H539)*C530</f>
        <v>421573.74497333332</v>
      </c>
      <c r="K539" s="344"/>
      <c r="L539" s="343"/>
      <c r="M539" s="83"/>
      <c r="N539" s="92"/>
      <c r="O539" s="93">
        <f>H539</f>
        <v>18598.841690000001</v>
      </c>
      <c r="P539" s="88"/>
      <c r="Q539" s="344"/>
      <c r="R539" s="275"/>
    </row>
    <row r="540" spans="1:18" s="89" customFormat="1" x14ac:dyDescent="0.2">
      <c r="A540" s="275"/>
      <c r="B540" s="343"/>
      <c r="C540" s="63"/>
      <c r="D540" s="94"/>
      <c r="E540" s="7"/>
      <c r="F540" s="486"/>
      <c r="G540" s="483"/>
      <c r="H540" s="453"/>
      <c r="I540" s="253"/>
      <c r="J540" s="79"/>
      <c r="K540" s="344"/>
      <c r="L540" s="343"/>
      <c r="M540" s="87"/>
      <c r="N540" s="79"/>
      <c r="O540" s="79"/>
      <c r="P540" s="88"/>
      <c r="Q540" s="344"/>
      <c r="R540" s="275"/>
    </row>
    <row r="541" spans="1:18" s="89" customFormat="1" ht="15" customHeight="1" x14ac:dyDescent="0.2">
      <c r="A541" s="275"/>
      <c r="B541" s="360"/>
      <c r="C541" s="13">
        <v>1</v>
      </c>
      <c r="D541" s="260" t="s">
        <v>174</v>
      </c>
      <c r="E541" s="18">
        <v>31896.05</v>
      </c>
      <c r="F541" s="486"/>
      <c r="G541" s="480"/>
      <c r="H541" s="481"/>
      <c r="I541" s="254"/>
      <c r="J541" s="146"/>
      <c r="K541" s="361"/>
      <c r="L541" s="360"/>
      <c r="M541" s="87"/>
      <c r="N541" s="79"/>
      <c r="O541" s="79"/>
      <c r="P541" s="88"/>
      <c r="Q541" s="361"/>
      <c r="R541" s="275"/>
    </row>
    <row r="542" spans="1:18" s="89" customFormat="1" x14ac:dyDescent="0.2">
      <c r="A542" s="275"/>
      <c r="B542" s="343"/>
      <c r="C542" s="63"/>
      <c r="D542" s="75" t="s">
        <v>84</v>
      </c>
      <c r="E542" s="336" t="s">
        <v>160</v>
      </c>
      <c r="F542" s="474">
        <f>E541</f>
        <v>31896.05</v>
      </c>
      <c r="G542" s="482">
        <v>1</v>
      </c>
      <c r="H542" s="249">
        <f>+G542*F542</f>
        <v>31896.05</v>
      </c>
      <c r="I542" s="253"/>
      <c r="J542" s="79"/>
      <c r="K542" s="344"/>
      <c r="L542" s="343"/>
      <c r="M542" s="83">
        <f>H542</f>
        <v>31896.05</v>
      </c>
      <c r="N542" s="91"/>
      <c r="O542" s="83"/>
      <c r="P542" s="31"/>
      <c r="Q542" s="344"/>
      <c r="R542" s="275"/>
    </row>
    <row r="543" spans="1:18" s="89" customFormat="1" x14ac:dyDescent="0.2">
      <c r="A543" s="275"/>
      <c r="B543" s="343"/>
      <c r="C543" s="63"/>
      <c r="D543" s="75" t="s">
        <v>77</v>
      </c>
      <c r="E543" s="337" t="s">
        <v>160</v>
      </c>
      <c r="F543" s="474">
        <f>E541</f>
        <v>31896.05</v>
      </c>
      <c r="G543" s="482">
        <v>4</v>
      </c>
      <c r="H543" s="249">
        <f>+G543*F543</f>
        <v>127584.2</v>
      </c>
      <c r="I543" s="253"/>
      <c r="J543" s="79"/>
      <c r="K543" s="344"/>
      <c r="L543" s="343"/>
      <c r="M543" s="83"/>
      <c r="N543" s="91">
        <f>H543</f>
        <v>127584.2</v>
      </c>
      <c r="O543" s="83"/>
      <c r="P543" s="31"/>
      <c r="Q543" s="344"/>
      <c r="R543" s="275"/>
    </row>
    <row r="544" spans="1:18" s="89" customFormat="1" x14ac:dyDescent="0.2">
      <c r="A544" s="275"/>
      <c r="B544" s="343"/>
      <c r="C544" s="63"/>
      <c r="D544" s="75" t="s">
        <v>158</v>
      </c>
      <c r="E544" s="247">
        <v>66</v>
      </c>
      <c r="F544" s="474">
        <f>E541/150*1.5</f>
        <v>318.96050000000002</v>
      </c>
      <c r="G544" s="482">
        <f>+F548</f>
        <v>5</v>
      </c>
      <c r="H544" s="249">
        <f>+G544*F544*E544</f>
        <v>105256.96500000001</v>
      </c>
      <c r="I544" s="253"/>
      <c r="J544" s="79"/>
      <c r="K544" s="344"/>
      <c r="L544" s="343"/>
      <c r="M544" s="83"/>
      <c r="N544" s="91">
        <f>H544</f>
        <v>105256.96500000001</v>
      </c>
      <c r="O544" s="83"/>
      <c r="P544" s="31"/>
      <c r="Q544" s="344"/>
      <c r="R544" s="275"/>
    </row>
    <row r="545" spans="1:18" s="89" customFormat="1" x14ac:dyDescent="0.2">
      <c r="A545" s="275"/>
      <c r="B545" s="343"/>
      <c r="C545" s="63"/>
      <c r="D545" s="75" t="s">
        <v>14</v>
      </c>
      <c r="E545" s="339" t="s">
        <v>119</v>
      </c>
      <c r="F545" s="474">
        <v>0</v>
      </c>
      <c r="G545" s="249">
        <f>$H$3</f>
        <v>80</v>
      </c>
      <c r="H545" s="249">
        <f>+G545*F545</f>
        <v>0</v>
      </c>
      <c r="I545" s="253"/>
      <c r="J545" s="79"/>
      <c r="K545" s="344"/>
      <c r="L545" s="343"/>
      <c r="M545" s="83"/>
      <c r="N545" s="91">
        <f>H545</f>
        <v>0</v>
      </c>
      <c r="O545" s="83"/>
      <c r="P545" s="31"/>
      <c r="Q545" s="344"/>
      <c r="R545" s="275"/>
    </row>
    <row r="546" spans="1:18" s="89" customFormat="1" x14ac:dyDescent="0.2">
      <c r="A546" s="275"/>
      <c r="B546" s="343"/>
      <c r="C546" s="63"/>
      <c r="D546" s="75" t="s">
        <v>16</v>
      </c>
      <c r="E546" s="339" t="s">
        <v>119</v>
      </c>
      <c r="F546" s="474">
        <v>0</v>
      </c>
      <c r="G546" s="249">
        <f>$H$4</f>
        <v>40</v>
      </c>
      <c r="H546" s="249">
        <f>+G546*F546</f>
        <v>0</v>
      </c>
      <c r="I546" s="253"/>
      <c r="J546" s="79"/>
      <c r="K546" s="344"/>
      <c r="L546" s="343"/>
      <c r="M546" s="83"/>
      <c r="N546" s="91">
        <f>H546</f>
        <v>0</v>
      </c>
      <c r="O546" s="83"/>
      <c r="P546" s="31"/>
      <c r="Q546" s="344"/>
      <c r="R546" s="275"/>
    </row>
    <row r="547" spans="1:18" s="89" customFormat="1" x14ac:dyDescent="0.2">
      <c r="A547" s="275"/>
      <c r="B547" s="343"/>
      <c r="C547" s="63"/>
      <c r="D547" s="75" t="s">
        <v>13</v>
      </c>
      <c r="E547" s="337" t="s">
        <v>161</v>
      </c>
      <c r="F547" s="474">
        <f>E541</f>
        <v>31896.05</v>
      </c>
      <c r="G547" s="249">
        <v>0</v>
      </c>
      <c r="H547" s="249">
        <f>+G547*F547</f>
        <v>0</v>
      </c>
      <c r="I547" s="253"/>
      <c r="J547" s="79"/>
      <c r="K547" s="344"/>
      <c r="L547" s="343"/>
      <c r="M547" s="83"/>
      <c r="N547" s="91"/>
      <c r="O547" s="83">
        <f>SUM(H547)</f>
        <v>0</v>
      </c>
      <c r="P547" s="31"/>
      <c r="Q547" s="344"/>
      <c r="R547" s="275"/>
    </row>
    <row r="548" spans="1:18" s="89" customFormat="1" x14ac:dyDescent="0.2">
      <c r="A548" s="275"/>
      <c r="B548" s="343"/>
      <c r="C548" s="63"/>
      <c r="D548" s="75" t="s">
        <v>157</v>
      </c>
      <c r="E548" s="339" t="s">
        <v>117</v>
      </c>
      <c r="F548" s="486">
        <f>+G542+G543+G547</f>
        <v>5</v>
      </c>
      <c r="G548" s="248" t="s">
        <v>143</v>
      </c>
      <c r="H548" s="249">
        <f>SUM(H542:H547)</f>
        <v>264737.21500000003</v>
      </c>
      <c r="I548" s="245"/>
      <c r="J548" s="79"/>
      <c r="K548" s="344"/>
      <c r="L548" s="343"/>
      <c r="M548" s="239"/>
      <c r="N548" s="240"/>
      <c r="O548" s="91"/>
      <c r="P548" s="31"/>
      <c r="Q548" s="344"/>
      <c r="R548" s="275"/>
    </row>
    <row r="549" spans="1:18" s="89" customFormat="1" x14ac:dyDescent="0.2">
      <c r="A549" s="275"/>
      <c r="B549" s="343"/>
      <c r="C549" s="63"/>
      <c r="D549" s="116" t="s">
        <v>142</v>
      </c>
      <c r="E549" s="339" t="s">
        <v>117</v>
      </c>
      <c r="F549" s="474">
        <f>+E541+F544*E544</f>
        <v>52947.442999999999</v>
      </c>
      <c r="G549" s="478"/>
      <c r="H549" s="249">
        <f>+((F549/2)*F548)/6</f>
        <v>22061.434583333332</v>
      </c>
      <c r="I549" s="250"/>
      <c r="J549" s="236"/>
      <c r="K549" s="344"/>
      <c r="L549" s="343"/>
      <c r="M549" s="83"/>
      <c r="N549" s="92"/>
      <c r="O549" s="93">
        <f>H549</f>
        <v>22061.434583333332</v>
      </c>
      <c r="P549" s="88"/>
      <c r="Q549" s="344"/>
      <c r="R549" s="275"/>
    </row>
    <row r="550" spans="1:18" s="89" customFormat="1" x14ac:dyDescent="0.2">
      <c r="A550" s="275"/>
      <c r="B550" s="343"/>
      <c r="C550" s="63"/>
      <c r="D550" s="116" t="s">
        <v>191</v>
      </c>
      <c r="E550" s="244"/>
      <c r="F550" s="474">
        <f>+E541+F544*E544</f>
        <v>52947.442999999999</v>
      </c>
      <c r="G550" s="479"/>
      <c r="H550" s="249">
        <f>+(F550/30)*((F548*30)/20)</f>
        <v>13236.86075</v>
      </c>
      <c r="I550" s="251">
        <v>0</v>
      </c>
      <c r="J550" s="93">
        <f>+(H548+H549+H550)*C541</f>
        <v>300035.51033333334</v>
      </c>
      <c r="K550" s="344"/>
      <c r="L550" s="343"/>
      <c r="M550" s="83"/>
      <c r="N550" s="92"/>
      <c r="O550" s="93">
        <f>H550</f>
        <v>13236.86075</v>
      </c>
      <c r="P550" s="88"/>
      <c r="Q550" s="344"/>
      <c r="R550" s="275"/>
    </row>
    <row r="551" spans="1:18" s="89" customFormat="1" x14ac:dyDescent="0.2">
      <c r="A551" s="275"/>
      <c r="B551" s="343"/>
      <c r="C551" s="63"/>
      <c r="D551" s="94"/>
      <c r="E551" s="7"/>
      <c r="F551" s="486"/>
      <c r="G551" s="483"/>
      <c r="H551" s="453"/>
      <c r="I551" s="253"/>
      <c r="J551" s="79"/>
      <c r="K551" s="344"/>
      <c r="L551" s="343"/>
      <c r="M551" s="87"/>
      <c r="N551" s="79"/>
      <c r="O551" s="79"/>
      <c r="P551" s="88"/>
      <c r="Q551" s="344"/>
      <c r="R551" s="275"/>
    </row>
    <row r="552" spans="1:18" s="89" customFormat="1" ht="15" customHeight="1" x14ac:dyDescent="0.2">
      <c r="A552" s="275"/>
      <c r="B552" s="360"/>
      <c r="C552" s="13">
        <v>1</v>
      </c>
      <c r="D552" s="260" t="s">
        <v>175</v>
      </c>
      <c r="E552" s="18">
        <v>43881.8</v>
      </c>
      <c r="F552" s="241"/>
      <c r="G552" s="34"/>
      <c r="H552" s="242"/>
      <c r="I552" s="254"/>
      <c r="J552" s="146"/>
      <c r="K552" s="361"/>
      <c r="L552" s="360"/>
      <c r="M552" s="87"/>
      <c r="N552" s="79"/>
      <c r="O552" s="79"/>
      <c r="P552" s="88"/>
      <c r="Q552" s="361"/>
      <c r="R552" s="275"/>
    </row>
    <row r="553" spans="1:18" s="89" customFormat="1" x14ac:dyDescent="0.2">
      <c r="A553" s="275"/>
      <c r="B553" s="343"/>
      <c r="C553" s="63"/>
      <c r="D553" s="75" t="s">
        <v>84</v>
      </c>
      <c r="E553" s="336" t="s">
        <v>160</v>
      </c>
      <c r="F553" s="244">
        <f>E552</f>
        <v>43881.8</v>
      </c>
      <c r="G553" s="62">
        <v>2</v>
      </c>
      <c r="H553" s="249">
        <f>+G553*F553</f>
        <v>87763.6</v>
      </c>
      <c r="I553" s="253"/>
      <c r="J553" s="79"/>
      <c r="K553" s="344"/>
      <c r="L553" s="343"/>
      <c r="M553" s="83">
        <f>H553</f>
        <v>87763.6</v>
      </c>
      <c r="N553" s="91"/>
      <c r="O553" s="83"/>
      <c r="P553" s="31"/>
      <c r="Q553" s="344"/>
      <c r="R553" s="275"/>
    </row>
    <row r="554" spans="1:18" s="89" customFormat="1" x14ac:dyDescent="0.2">
      <c r="A554" s="275"/>
      <c r="B554" s="343"/>
      <c r="C554" s="63"/>
      <c r="D554" s="75" t="s">
        <v>77</v>
      </c>
      <c r="E554" s="337" t="s">
        <v>160</v>
      </c>
      <c r="F554" s="244">
        <f>E552</f>
        <v>43881.8</v>
      </c>
      <c r="G554" s="62">
        <v>4</v>
      </c>
      <c r="H554" s="249">
        <f>+G554*F554</f>
        <v>175527.2</v>
      </c>
      <c r="I554" s="253"/>
      <c r="J554" s="79"/>
      <c r="K554" s="344"/>
      <c r="L554" s="343"/>
      <c r="M554" s="83"/>
      <c r="N554" s="91">
        <f>H554</f>
        <v>175527.2</v>
      </c>
      <c r="O554" s="83"/>
      <c r="P554" s="31"/>
      <c r="Q554" s="344"/>
      <c r="R554" s="275"/>
    </row>
    <row r="555" spans="1:18" s="89" customFormat="1" x14ac:dyDescent="0.2">
      <c r="A555" s="275"/>
      <c r="B555" s="343"/>
      <c r="C555" s="63"/>
      <c r="D555" s="75" t="s">
        <v>158</v>
      </c>
      <c r="E555" s="247">
        <v>66</v>
      </c>
      <c r="F555" s="244">
        <f>E552/150*1.5</f>
        <v>438.81800000000004</v>
      </c>
      <c r="G555" s="62">
        <f>+F559</f>
        <v>6.5</v>
      </c>
      <c r="H555" s="249">
        <f>+G555*F555*E555</f>
        <v>188252.92200000002</v>
      </c>
      <c r="I555" s="253"/>
      <c r="J555" s="79"/>
      <c r="K555" s="344"/>
      <c r="L555" s="343"/>
      <c r="M555" s="83"/>
      <c r="N555" s="91">
        <f>H555</f>
        <v>188252.92200000002</v>
      </c>
      <c r="O555" s="83"/>
      <c r="P555" s="31"/>
      <c r="Q555" s="344"/>
      <c r="R555" s="275"/>
    </row>
    <row r="556" spans="1:18" s="89" customFormat="1" x14ac:dyDescent="0.2">
      <c r="A556" s="275"/>
      <c r="B556" s="343"/>
      <c r="C556" s="63"/>
      <c r="D556" s="75" t="s">
        <v>14</v>
      </c>
      <c r="E556" s="339" t="s">
        <v>119</v>
      </c>
      <c r="F556" s="244">
        <v>0</v>
      </c>
      <c r="G556" s="28">
        <f>$H$3</f>
        <v>80</v>
      </c>
      <c r="H556" s="249">
        <f>+G556*F556</f>
        <v>0</v>
      </c>
      <c r="I556" s="253"/>
      <c r="J556" s="79"/>
      <c r="K556" s="344"/>
      <c r="L556" s="343"/>
      <c r="M556" s="83"/>
      <c r="N556" s="91">
        <f>H556</f>
        <v>0</v>
      </c>
      <c r="O556" s="83"/>
      <c r="P556" s="31"/>
      <c r="Q556" s="344"/>
      <c r="R556" s="275"/>
    </row>
    <row r="557" spans="1:18" s="89" customFormat="1" x14ac:dyDescent="0.2">
      <c r="A557" s="275"/>
      <c r="B557" s="343"/>
      <c r="C557" s="63"/>
      <c r="D557" s="75" t="s">
        <v>16</v>
      </c>
      <c r="E557" s="339" t="s">
        <v>119</v>
      </c>
      <c r="F557" s="244">
        <v>0</v>
      </c>
      <c r="G557" s="28">
        <f>$H$4</f>
        <v>40</v>
      </c>
      <c r="H557" s="249">
        <f>+G557*F557</f>
        <v>0</v>
      </c>
      <c r="I557" s="253"/>
      <c r="J557" s="79"/>
      <c r="K557" s="344"/>
      <c r="L557" s="343"/>
      <c r="M557" s="83"/>
      <c r="N557" s="91">
        <f>H557</f>
        <v>0</v>
      </c>
      <c r="O557" s="83"/>
      <c r="P557" s="31"/>
      <c r="Q557" s="344"/>
      <c r="R557" s="275"/>
    </row>
    <row r="558" spans="1:18" s="89" customFormat="1" x14ac:dyDescent="0.2">
      <c r="A558" s="275"/>
      <c r="B558" s="343"/>
      <c r="C558" s="63"/>
      <c r="D558" s="75" t="s">
        <v>13</v>
      </c>
      <c r="E558" s="337" t="s">
        <v>161</v>
      </c>
      <c r="F558" s="474">
        <f>E552</f>
        <v>43881.8</v>
      </c>
      <c r="G558" s="474">
        <v>0.5</v>
      </c>
      <c r="H558" s="249">
        <f>+G558*F558</f>
        <v>21940.9</v>
      </c>
      <c r="I558" s="253"/>
      <c r="J558" s="79"/>
      <c r="K558" s="344"/>
      <c r="L558" s="343"/>
      <c r="M558" s="83"/>
      <c r="N558" s="91"/>
      <c r="O558" s="83">
        <f>SUM(H558)</f>
        <v>21940.9</v>
      </c>
      <c r="P558" s="31"/>
      <c r="Q558" s="344"/>
      <c r="R558" s="275"/>
    </row>
    <row r="559" spans="1:18" s="89" customFormat="1" x14ac:dyDescent="0.2">
      <c r="A559" s="275"/>
      <c r="B559" s="343"/>
      <c r="C559" s="63"/>
      <c r="D559" s="75" t="s">
        <v>157</v>
      </c>
      <c r="E559" s="339" t="s">
        <v>117</v>
      </c>
      <c r="F559" s="486">
        <f>+G553+G554+G558</f>
        <v>6.5</v>
      </c>
      <c r="G559" s="248" t="s">
        <v>143</v>
      </c>
      <c r="H559" s="249">
        <f>SUM(H553:H558)</f>
        <v>473484.62200000009</v>
      </c>
      <c r="I559" s="245"/>
      <c r="J559" s="79"/>
      <c r="K559" s="344"/>
      <c r="L559" s="343"/>
      <c r="M559" s="239"/>
      <c r="N559" s="240"/>
      <c r="O559" s="91"/>
      <c r="P559" s="31"/>
      <c r="Q559" s="344"/>
      <c r="R559" s="275"/>
    </row>
    <row r="560" spans="1:18" s="89" customFormat="1" x14ac:dyDescent="0.2">
      <c r="A560" s="275"/>
      <c r="B560" s="343"/>
      <c r="C560" s="63"/>
      <c r="D560" s="116" t="s">
        <v>142</v>
      </c>
      <c r="E560" s="339" t="s">
        <v>117</v>
      </c>
      <c r="F560" s="474">
        <f>+E552+F555*E555</f>
        <v>72843.788</v>
      </c>
      <c r="G560" s="478"/>
      <c r="H560" s="249">
        <f>+((F560/2)*F559)/6</f>
        <v>39457.051833333331</v>
      </c>
      <c r="I560" s="250"/>
      <c r="J560" s="236"/>
      <c r="K560" s="344"/>
      <c r="L560" s="343"/>
      <c r="M560" s="83"/>
      <c r="N560" s="92"/>
      <c r="O560" s="93">
        <f>H560</f>
        <v>39457.051833333331</v>
      </c>
      <c r="P560" s="88"/>
      <c r="Q560" s="344"/>
      <c r="R560" s="275"/>
    </row>
    <row r="561" spans="1:18" s="89" customFormat="1" x14ac:dyDescent="0.2">
      <c r="A561" s="275"/>
      <c r="B561" s="343"/>
      <c r="C561" s="63"/>
      <c r="D561" s="116" t="s">
        <v>191</v>
      </c>
      <c r="E561" s="244"/>
      <c r="F561" s="474">
        <f>+E552+F555*E555</f>
        <v>72843.788</v>
      </c>
      <c r="G561" s="479"/>
      <c r="H561" s="249">
        <f>+(F561/30)*((F559*30)/20)</f>
        <v>23674.231100000001</v>
      </c>
      <c r="I561" s="251">
        <v>0</v>
      </c>
      <c r="J561" s="93">
        <f>+(H559+H560+H561)*C552</f>
        <v>536615.9049333334</v>
      </c>
      <c r="K561" s="344"/>
      <c r="L561" s="343"/>
      <c r="M561" s="83"/>
      <c r="N561" s="92"/>
      <c r="O561" s="93">
        <f>H561</f>
        <v>23674.231100000001</v>
      </c>
      <c r="P561" s="88"/>
      <c r="Q561" s="344"/>
      <c r="R561" s="275"/>
    </row>
    <row r="562" spans="1:18" s="89" customFormat="1" x14ac:dyDescent="0.2">
      <c r="A562" s="275"/>
      <c r="B562" s="343"/>
      <c r="C562" s="63"/>
      <c r="D562" s="94"/>
      <c r="E562" s="7"/>
      <c r="F562" s="486"/>
      <c r="G562" s="483"/>
      <c r="H562" s="453"/>
      <c r="I562" s="253"/>
      <c r="J562" s="79"/>
      <c r="K562" s="344"/>
      <c r="L562" s="343"/>
      <c r="M562" s="87"/>
      <c r="N562" s="79"/>
      <c r="O562" s="79"/>
      <c r="P562" s="88"/>
      <c r="Q562" s="344"/>
      <c r="R562" s="275"/>
    </row>
    <row r="563" spans="1:18" s="89" customFormat="1" ht="15" customHeight="1" x14ac:dyDescent="0.2">
      <c r="A563" s="275"/>
      <c r="B563" s="360"/>
      <c r="C563" s="13">
        <v>1</v>
      </c>
      <c r="D563" s="260" t="s">
        <v>343</v>
      </c>
      <c r="E563" s="18">
        <v>37371.11</v>
      </c>
      <c r="F563" s="486"/>
      <c r="G563" s="480"/>
      <c r="H563" s="481"/>
      <c r="I563" s="254"/>
      <c r="J563" s="146"/>
      <c r="K563" s="361"/>
      <c r="L563" s="360"/>
      <c r="M563" s="87"/>
      <c r="N563" s="79"/>
      <c r="O563" s="79"/>
      <c r="P563" s="88"/>
      <c r="Q563" s="361"/>
      <c r="R563" s="275"/>
    </row>
    <row r="564" spans="1:18" s="89" customFormat="1" x14ac:dyDescent="0.2">
      <c r="A564" s="275"/>
      <c r="B564" s="343"/>
      <c r="C564" s="63"/>
      <c r="D564" s="75" t="s">
        <v>84</v>
      </c>
      <c r="E564" s="336" t="s">
        <v>160</v>
      </c>
      <c r="F564" s="474">
        <f>E563</f>
        <v>37371.11</v>
      </c>
      <c r="G564" s="482">
        <v>2</v>
      </c>
      <c r="H564" s="249">
        <f>+G564*F564</f>
        <v>74742.22</v>
      </c>
      <c r="I564" s="253"/>
      <c r="J564" s="79"/>
      <c r="K564" s="344"/>
      <c r="L564" s="343"/>
      <c r="M564" s="83">
        <f>H564</f>
        <v>74742.22</v>
      </c>
      <c r="N564" s="91"/>
      <c r="O564" s="83"/>
      <c r="P564" s="31"/>
      <c r="Q564" s="344"/>
      <c r="R564" s="275"/>
    </row>
    <row r="565" spans="1:18" s="89" customFormat="1" x14ac:dyDescent="0.2">
      <c r="A565" s="275"/>
      <c r="B565" s="343"/>
      <c r="C565" s="63"/>
      <c r="D565" s="75" t="s">
        <v>77</v>
      </c>
      <c r="E565" s="337" t="s">
        <v>160</v>
      </c>
      <c r="F565" s="474">
        <f>E563</f>
        <v>37371.11</v>
      </c>
      <c r="G565" s="482">
        <v>4</v>
      </c>
      <c r="H565" s="249">
        <f>+G565*F565</f>
        <v>149484.44</v>
      </c>
      <c r="I565" s="253"/>
      <c r="J565" s="79"/>
      <c r="K565" s="344"/>
      <c r="L565" s="343"/>
      <c r="M565" s="83"/>
      <c r="N565" s="91">
        <f>H565</f>
        <v>149484.44</v>
      </c>
      <c r="O565" s="83"/>
      <c r="P565" s="31"/>
      <c r="Q565" s="344"/>
      <c r="R565" s="275"/>
    </row>
    <row r="566" spans="1:18" s="89" customFormat="1" x14ac:dyDescent="0.2">
      <c r="A566" s="275"/>
      <c r="B566" s="343"/>
      <c r="C566" s="63"/>
      <c r="D566" s="75" t="s">
        <v>158</v>
      </c>
      <c r="E566" s="247">
        <v>66</v>
      </c>
      <c r="F566" s="474">
        <f>E563/150*1.5</f>
        <v>373.71109999999999</v>
      </c>
      <c r="G566" s="482">
        <f>+F570</f>
        <v>6.5</v>
      </c>
      <c r="H566" s="249">
        <f>+G566*F566*E566</f>
        <v>160322.0619</v>
      </c>
      <c r="I566" s="253"/>
      <c r="J566" s="79"/>
      <c r="K566" s="344"/>
      <c r="L566" s="343"/>
      <c r="M566" s="83"/>
      <c r="N566" s="91">
        <f>H566</f>
        <v>160322.0619</v>
      </c>
      <c r="O566" s="83"/>
      <c r="P566" s="31"/>
      <c r="Q566" s="344"/>
      <c r="R566" s="275"/>
    </row>
    <row r="567" spans="1:18" s="89" customFormat="1" x14ac:dyDescent="0.2">
      <c r="A567" s="275"/>
      <c r="B567" s="343"/>
      <c r="C567" s="63"/>
      <c r="D567" s="75" t="s">
        <v>14</v>
      </c>
      <c r="E567" s="339" t="s">
        <v>119</v>
      </c>
      <c r="F567" s="474">
        <v>0</v>
      </c>
      <c r="G567" s="249">
        <f>$H$3</f>
        <v>80</v>
      </c>
      <c r="H567" s="249">
        <f>+G567*F567</f>
        <v>0</v>
      </c>
      <c r="I567" s="253"/>
      <c r="J567" s="79"/>
      <c r="K567" s="344"/>
      <c r="L567" s="343"/>
      <c r="M567" s="83"/>
      <c r="N567" s="91">
        <f>H567</f>
        <v>0</v>
      </c>
      <c r="O567" s="83"/>
      <c r="P567" s="31"/>
      <c r="Q567" s="344"/>
      <c r="R567" s="275"/>
    </row>
    <row r="568" spans="1:18" s="89" customFormat="1" x14ac:dyDescent="0.2">
      <c r="A568" s="275"/>
      <c r="B568" s="343"/>
      <c r="C568" s="63"/>
      <c r="D568" s="75" t="s">
        <v>16</v>
      </c>
      <c r="E568" s="339" t="s">
        <v>119</v>
      </c>
      <c r="F568" s="474">
        <v>0</v>
      </c>
      <c r="G568" s="249">
        <f>$H$4</f>
        <v>40</v>
      </c>
      <c r="H568" s="249">
        <f>+G568*F568</f>
        <v>0</v>
      </c>
      <c r="I568" s="253"/>
      <c r="J568" s="79"/>
      <c r="K568" s="344"/>
      <c r="L568" s="343"/>
      <c r="M568" s="83"/>
      <c r="N568" s="91">
        <f>H568</f>
        <v>0</v>
      </c>
      <c r="O568" s="83"/>
      <c r="P568" s="31"/>
      <c r="Q568" s="344"/>
      <c r="R568" s="275"/>
    </row>
    <row r="569" spans="1:18" s="89" customFormat="1" x14ac:dyDescent="0.2">
      <c r="A569" s="275"/>
      <c r="B569" s="343"/>
      <c r="C569" s="63"/>
      <c r="D569" s="75" t="s">
        <v>13</v>
      </c>
      <c r="E569" s="337" t="s">
        <v>161</v>
      </c>
      <c r="F569" s="474">
        <f>E563</f>
        <v>37371.11</v>
      </c>
      <c r="G569" s="482">
        <v>0.5</v>
      </c>
      <c r="H569" s="249">
        <f>+G569*F569</f>
        <v>18685.555</v>
      </c>
      <c r="I569" s="253"/>
      <c r="J569" s="79"/>
      <c r="K569" s="344"/>
      <c r="L569" s="343"/>
      <c r="M569" s="83"/>
      <c r="N569" s="91"/>
      <c r="O569" s="83">
        <f>SUM(H569)</f>
        <v>18685.555</v>
      </c>
      <c r="P569" s="31"/>
      <c r="Q569" s="344"/>
      <c r="R569" s="275"/>
    </row>
    <row r="570" spans="1:18" s="89" customFormat="1" x14ac:dyDescent="0.2">
      <c r="A570" s="275"/>
      <c r="B570" s="343"/>
      <c r="C570" s="63"/>
      <c r="D570" s="75" t="s">
        <v>157</v>
      </c>
      <c r="E570" s="339" t="s">
        <v>117</v>
      </c>
      <c r="F570" s="486">
        <f>+G564+G565+G569</f>
        <v>6.5</v>
      </c>
      <c r="G570" s="248" t="s">
        <v>143</v>
      </c>
      <c r="H570" s="249">
        <f>SUM(H564:H569)</f>
        <v>403234.2769</v>
      </c>
      <c r="I570" s="245"/>
      <c r="J570" s="79"/>
      <c r="K570" s="344"/>
      <c r="L570" s="343"/>
      <c r="M570" s="239"/>
      <c r="N570" s="240"/>
      <c r="O570" s="91"/>
      <c r="P570" s="31"/>
      <c r="Q570" s="344"/>
      <c r="R570" s="275"/>
    </row>
    <row r="571" spans="1:18" s="89" customFormat="1" x14ac:dyDescent="0.2">
      <c r="A571" s="275"/>
      <c r="B571" s="343"/>
      <c r="C571" s="63"/>
      <c r="D571" s="116" t="s">
        <v>142</v>
      </c>
      <c r="E571" s="339" t="s">
        <v>117</v>
      </c>
      <c r="F571" s="474">
        <f>+E563+F566*E566</f>
        <v>62036.042600000001</v>
      </c>
      <c r="G571" s="478"/>
      <c r="H571" s="249">
        <f>+((F571/2)*F570)/6</f>
        <v>33602.856408333333</v>
      </c>
      <c r="I571" s="250"/>
      <c r="J571" s="236"/>
      <c r="K571" s="344"/>
      <c r="L571" s="343"/>
      <c r="M571" s="83"/>
      <c r="N571" s="92"/>
      <c r="O571" s="93">
        <f>H571</f>
        <v>33602.856408333333</v>
      </c>
      <c r="P571" s="88"/>
      <c r="Q571" s="344"/>
      <c r="R571" s="275"/>
    </row>
    <row r="572" spans="1:18" s="89" customFormat="1" x14ac:dyDescent="0.2">
      <c r="A572" s="275"/>
      <c r="B572" s="343"/>
      <c r="C572" s="63"/>
      <c r="D572" s="116" t="s">
        <v>191</v>
      </c>
      <c r="E572" s="244"/>
      <c r="F572" s="474">
        <f>+E563+F566*E566</f>
        <v>62036.042600000001</v>
      </c>
      <c r="G572" s="479"/>
      <c r="H572" s="249">
        <f>+(F572/30)*((F570*30)/20)</f>
        <v>20161.713845000002</v>
      </c>
      <c r="I572" s="251">
        <v>0</v>
      </c>
      <c r="J572" s="93">
        <f>+(H570+H571+H572)*C563</f>
        <v>456998.84715333336</v>
      </c>
      <c r="K572" s="344"/>
      <c r="L572" s="343"/>
      <c r="M572" s="83"/>
      <c r="N572" s="92"/>
      <c r="O572" s="93">
        <f>H572</f>
        <v>20161.713845000002</v>
      </c>
      <c r="P572" s="88"/>
      <c r="Q572" s="344"/>
      <c r="R572" s="275"/>
    </row>
    <row r="573" spans="1:18" s="89" customFormat="1" x14ac:dyDescent="0.2">
      <c r="A573" s="275"/>
      <c r="B573" s="343"/>
      <c r="C573" s="63"/>
      <c r="D573" s="94"/>
      <c r="E573" s="255"/>
      <c r="F573" s="486"/>
      <c r="G573" s="483"/>
      <c r="H573" s="453"/>
      <c r="I573" s="253"/>
      <c r="J573" s="79"/>
      <c r="K573" s="344"/>
      <c r="L573" s="343"/>
      <c r="M573" s="87"/>
      <c r="N573" s="79"/>
      <c r="O573" s="79"/>
      <c r="P573" s="88"/>
      <c r="Q573" s="344"/>
      <c r="R573" s="275"/>
    </row>
    <row r="574" spans="1:18" s="89" customFormat="1" ht="15" customHeight="1" x14ac:dyDescent="0.2">
      <c r="A574" s="275"/>
      <c r="B574" s="360"/>
      <c r="C574" s="13">
        <v>2</v>
      </c>
      <c r="D574" s="260" t="s">
        <v>271</v>
      </c>
      <c r="E574" s="18">
        <v>31896.05</v>
      </c>
      <c r="F574" s="241"/>
      <c r="G574" s="34"/>
      <c r="H574" s="242"/>
      <c r="I574" s="254"/>
      <c r="J574" s="146"/>
      <c r="K574" s="361"/>
      <c r="L574" s="360"/>
      <c r="M574" s="87"/>
      <c r="N574" s="79"/>
      <c r="O574" s="79"/>
      <c r="P574" s="88"/>
      <c r="Q574" s="361"/>
      <c r="R574" s="275"/>
    </row>
    <row r="575" spans="1:18" s="89" customFormat="1" x14ac:dyDescent="0.2">
      <c r="A575" s="275"/>
      <c r="B575" s="343"/>
      <c r="C575" s="63"/>
      <c r="D575" s="75" t="s">
        <v>84</v>
      </c>
      <c r="E575" s="336" t="s">
        <v>160</v>
      </c>
      <c r="F575" s="244">
        <f>E574</f>
        <v>31896.05</v>
      </c>
      <c r="G575" s="62">
        <v>2</v>
      </c>
      <c r="H575" s="249">
        <f>+G575*F575</f>
        <v>63792.1</v>
      </c>
      <c r="I575" s="253"/>
      <c r="J575" s="79"/>
      <c r="K575" s="344"/>
      <c r="L575" s="343"/>
      <c r="M575" s="83">
        <f>H575</f>
        <v>63792.1</v>
      </c>
      <c r="N575" s="91"/>
      <c r="O575" s="83"/>
      <c r="P575" s="31"/>
      <c r="Q575" s="344"/>
      <c r="R575" s="275"/>
    </row>
    <row r="576" spans="1:18" s="89" customFormat="1" x14ac:dyDescent="0.2">
      <c r="A576" s="275"/>
      <c r="B576" s="343"/>
      <c r="C576" s="63"/>
      <c r="D576" s="75" t="s">
        <v>77</v>
      </c>
      <c r="E576" s="337" t="s">
        <v>160</v>
      </c>
      <c r="F576" s="244">
        <f>E574</f>
        <v>31896.05</v>
      </c>
      <c r="G576" s="62">
        <v>4</v>
      </c>
      <c r="H576" s="249">
        <f>+G576*F576</f>
        <v>127584.2</v>
      </c>
      <c r="I576" s="253"/>
      <c r="J576" s="79"/>
      <c r="K576" s="344"/>
      <c r="L576" s="343"/>
      <c r="M576" s="83"/>
      <c r="N576" s="91">
        <f>H576</f>
        <v>127584.2</v>
      </c>
      <c r="O576" s="83"/>
      <c r="P576" s="31"/>
      <c r="Q576" s="344"/>
      <c r="R576" s="275"/>
    </row>
    <row r="577" spans="1:18" s="89" customFormat="1" x14ac:dyDescent="0.2">
      <c r="A577" s="275"/>
      <c r="B577" s="343"/>
      <c r="C577" s="63"/>
      <c r="D577" s="75" t="s">
        <v>158</v>
      </c>
      <c r="E577" s="247">
        <v>66</v>
      </c>
      <c r="F577" s="244">
        <f>E574/150*1.5</f>
        <v>318.96050000000002</v>
      </c>
      <c r="G577" s="62">
        <f>+F581</f>
        <v>6.5</v>
      </c>
      <c r="H577" s="249">
        <f>+G577*F577*E577</f>
        <v>136834.0545</v>
      </c>
      <c r="I577" s="253"/>
      <c r="J577" s="79"/>
      <c r="K577" s="344"/>
      <c r="L577" s="343"/>
      <c r="M577" s="83"/>
      <c r="N577" s="91">
        <f>H577</f>
        <v>136834.0545</v>
      </c>
      <c r="O577" s="83"/>
      <c r="P577" s="31"/>
      <c r="Q577" s="344"/>
      <c r="R577" s="275"/>
    </row>
    <row r="578" spans="1:18" s="89" customFormat="1" x14ac:dyDescent="0.2">
      <c r="A578" s="275"/>
      <c r="B578" s="343"/>
      <c r="C578" s="63"/>
      <c r="D578" s="75" t="s">
        <v>14</v>
      </c>
      <c r="E578" s="339" t="s">
        <v>119</v>
      </c>
      <c r="F578" s="244">
        <v>0</v>
      </c>
      <c r="G578" s="28">
        <f>$H$3</f>
        <v>80</v>
      </c>
      <c r="H578" s="249">
        <f>+G578*F578</f>
        <v>0</v>
      </c>
      <c r="I578" s="253"/>
      <c r="J578" s="79"/>
      <c r="K578" s="344"/>
      <c r="L578" s="343"/>
      <c r="M578" s="83"/>
      <c r="N578" s="91">
        <f>H578</f>
        <v>0</v>
      </c>
      <c r="O578" s="83"/>
      <c r="P578" s="31"/>
      <c r="Q578" s="344"/>
      <c r="R578" s="275"/>
    </row>
    <row r="579" spans="1:18" s="89" customFormat="1" x14ac:dyDescent="0.2">
      <c r="A579" s="275"/>
      <c r="B579" s="343"/>
      <c r="C579" s="63"/>
      <c r="D579" s="75" t="s">
        <v>16</v>
      </c>
      <c r="E579" s="339" t="s">
        <v>119</v>
      </c>
      <c r="F579" s="244">
        <v>0</v>
      </c>
      <c r="G579" s="28">
        <f>$H$4</f>
        <v>40</v>
      </c>
      <c r="H579" s="249">
        <f>+G579*F579</f>
        <v>0</v>
      </c>
      <c r="I579" s="253"/>
      <c r="J579" s="79"/>
      <c r="K579" s="344"/>
      <c r="L579" s="343"/>
      <c r="M579" s="83"/>
      <c r="N579" s="91">
        <f>H579</f>
        <v>0</v>
      </c>
      <c r="O579" s="83"/>
      <c r="P579" s="31"/>
      <c r="Q579" s="344"/>
      <c r="R579" s="275"/>
    </row>
    <row r="580" spans="1:18" s="89" customFormat="1" x14ac:dyDescent="0.2">
      <c r="A580" s="275"/>
      <c r="B580" s="343"/>
      <c r="C580" s="63"/>
      <c r="D580" s="75" t="s">
        <v>13</v>
      </c>
      <c r="E580" s="337" t="s">
        <v>161</v>
      </c>
      <c r="F580" s="244">
        <f>E574</f>
        <v>31896.05</v>
      </c>
      <c r="G580" s="62">
        <v>0.5</v>
      </c>
      <c r="H580" s="249">
        <f>+G580*F580</f>
        <v>15948.025</v>
      </c>
      <c r="I580" s="253"/>
      <c r="J580" s="79"/>
      <c r="K580" s="344"/>
      <c r="L580" s="343"/>
      <c r="M580" s="83"/>
      <c r="N580" s="91"/>
      <c r="O580" s="83">
        <f>SUM(H580)</f>
        <v>15948.025</v>
      </c>
      <c r="P580" s="31"/>
      <c r="Q580" s="344"/>
      <c r="R580" s="275"/>
    </row>
    <row r="581" spans="1:18" s="89" customFormat="1" x14ac:dyDescent="0.2">
      <c r="A581" s="275"/>
      <c r="B581" s="343"/>
      <c r="C581" s="63"/>
      <c r="D581" s="75" t="s">
        <v>157</v>
      </c>
      <c r="E581" s="339" t="s">
        <v>117</v>
      </c>
      <c r="F581" s="241">
        <f>+G575+G576+G580</f>
        <v>6.5</v>
      </c>
      <c r="G581" s="248" t="s">
        <v>143</v>
      </c>
      <c r="H581" s="249">
        <f>SUM(H575:H580)</f>
        <v>344158.37950000004</v>
      </c>
      <c r="I581" s="245"/>
      <c r="J581" s="79"/>
      <c r="K581" s="344"/>
      <c r="L581" s="343"/>
      <c r="M581" s="239"/>
      <c r="N581" s="240"/>
      <c r="O581" s="91"/>
      <c r="P581" s="31"/>
      <c r="Q581" s="344"/>
      <c r="R581" s="275"/>
    </row>
    <row r="582" spans="1:18" s="89" customFormat="1" x14ac:dyDescent="0.2">
      <c r="A582" s="275"/>
      <c r="B582" s="343"/>
      <c r="C582" s="63"/>
      <c r="D582" s="116" t="s">
        <v>142</v>
      </c>
      <c r="E582" s="339" t="s">
        <v>117</v>
      </c>
      <c r="F582" s="244">
        <f>+E574+F577*E577</f>
        <v>52947.442999999999</v>
      </c>
      <c r="G582" s="478"/>
      <c r="H582" s="249">
        <f>+((F582/2)*F581)/6</f>
        <v>28679.864958333332</v>
      </c>
      <c r="I582" s="250"/>
      <c r="J582" s="236"/>
      <c r="K582" s="344"/>
      <c r="L582" s="343"/>
      <c r="M582" s="83"/>
      <c r="N582" s="92"/>
      <c r="O582" s="93">
        <f>H582</f>
        <v>28679.864958333332</v>
      </c>
      <c r="P582" s="88"/>
      <c r="Q582" s="344"/>
      <c r="R582" s="275"/>
    </row>
    <row r="583" spans="1:18" s="89" customFormat="1" x14ac:dyDescent="0.2">
      <c r="A583" s="275"/>
      <c r="B583" s="343"/>
      <c r="C583" s="63"/>
      <c r="D583" s="116" t="s">
        <v>191</v>
      </c>
      <c r="E583" s="244"/>
      <c r="F583" s="244">
        <f>+E574+F577*E577</f>
        <v>52947.442999999999</v>
      </c>
      <c r="G583" s="479"/>
      <c r="H583" s="249">
        <f>+(F583/30)*((F581*30)/20)</f>
        <v>17207.918975000001</v>
      </c>
      <c r="I583" s="251">
        <v>0</v>
      </c>
      <c r="J583" s="93">
        <f>+(H581+H582+H583)*C574</f>
        <v>780092.32686666667</v>
      </c>
      <c r="K583" s="344"/>
      <c r="L583" s="343"/>
      <c r="M583" s="83"/>
      <c r="N583" s="92"/>
      <c r="O583" s="93">
        <f>H583</f>
        <v>17207.918975000001</v>
      </c>
      <c r="P583" s="88"/>
      <c r="Q583" s="344"/>
      <c r="R583" s="275"/>
    </row>
    <row r="584" spans="1:18" s="89" customFormat="1" x14ac:dyDescent="0.2">
      <c r="A584" s="275"/>
      <c r="B584" s="343"/>
      <c r="C584" s="63"/>
      <c r="D584" s="94"/>
      <c r="E584" s="255"/>
      <c r="F584" s="241"/>
      <c r="G584" s="483"/>
      <c r="H584" s="453"/>
      <c r="I584" s="253"/>
      <c r="J584" s="79"/>
      <c r="K584" s="344"/>
      <c r="L584" s="343"/>
      <c r="M584" s="87"/>
      <c r="N584" s="79"/>
      <c r="O584" s="79"/>
      <c r="P584" s="88"/>
      <c r="Q584" s="344"/>
      <c r="R584" s="275"/>
    </row>
    <row r="585" spans="1:18" s="89" customFormat="1" ht="15" customHeight="1" x14ac:dyDescent="0.2">
      <c r="A585" s="275"/>
      <c r="B585" s="360"/>
      <c r="C585" s="13">
        <v>1</v>
      </c>
      <c r="D585" s="260" t="s">
        <v>176</v>
      </c>
      <c r="E585" s="18">
        <v>31896.05</v>
      </c>
      <c r="F585" s="241"/>
      <c r="G585" s="480"/>
      <c r="H585" s="481"/>
      <c r="I585" s="254"/>
      <c r="J585" s="146"/>
      <c r="K585" s="361"/>
      <c r="L585" s="360"/>
      <c r="M585" s="87"/>
      <c r="N585" s="79"/>
      <c r="O585" s="79"/>
      <c r="P585" s="88"/>
      <c r="Q585" s="361"/>
      <c r="R585" s="275"/>
    </row>
    <row r="586" spans="1:18" s="89" customFormat="1" x14ac:dyDescent="0.2">
      <c r="A586" s="275"/>
      <c r="B586" s="343"/>
      <c r="C586" s="63"/>
      <c r="D586" s="75" t="s">
        <v>84</v>
      </c>
      <c r="E586" s="336" t="s">
        <v>160</v>
      </c>
      <c r="F586" s="244">
        <f>E585</f>
        <v>31896.05</v>
      </c>
      <c r="G586" s="482">
        <v>0.25</v>
      </c>
      <c r="H586" s="249">
        <f>+G586*F586</f>
        <v>7974.0124999999998</v>
      </c>
      <c r="I586" s="253"/>
      <c r="J586" s="79"/>
      <c r="K586" s="344"/>
      <c r="L586" s="343"/>
      <c r="M586" s="83">
        <f>H586</f>
        <v>7974.0124999999998</v>
      </c>
      <c r="N586" s="91"/>
      <c r="O586" s="83"/>
      <c r="P586" s="31"/>
      <c r="Q586" s="344"/>
      <c r="R586" s="275"/>
    </row>
    <row r="587" spans="1:18" s="89" customFormat="1" x14ac:dyDescent="0.2">
      <c r="A587" s="275"/>
      <c r="B587" s="343"/>
      <c r="C587" s="63"/>
      <c r="D587" s="75" t="s">
        <v>77</v>
      </c>
      <c r="E587" s="337" t="s">
        <v>160</v>
      </c>
      <c r="F587" s="244">
        <f>E585</f>
        <v>31896.05</v>
      </c>
      <c r="G587" s="482">
        <v>4</v>
      </c>
      <c r="H587" s="249">
        <f>+G587*F587</f>
        <v>127584.2</v>
      </c>
      <c r="I587" s="253"/>
      <c r="J587" s="79"/>
      <c r="K587" s="344"/>
      <c r="L587" s="343"/>
      <c r="M587" s="83"/>
      <c r="N587" s="91">
        <f>H587</f>
        <v>127584.2</v>
      </c>
      <c r="O587" s="83"/>
      <c r="P587" s="31"/>
      <c r="Q587" s="344"/>
      <c r="R587" s="275"/>
    </row>
    <row r="588" spans="1:18" s="89" customFormat="1" x14ac:dyDescent="0.2">
      <c r="A588" s="275"/>
      <c r="B588" s="343"/>
      <c r="C588" s="63"/>
      <c r="D588" s="75" t="s">
        <v>158</v>
      </c>
      <c r="E588" s="247">
        <v>66</v>
      </c>
      <c r="F588" s="244">
        <f>E585/150*1.5</f>
        <v>318.96050000000002</v>
      </c>
      <c r="G588" s="482">
        <f>+F592</f>
        <v>4.25</v>
      </c>
      <c r="H588" s="249">
        <f>+G588*F588*E588</f>
        <v>89468.42025000001</v>
      </c>
      <c r="I588" s="253"/>
      <c r="J588" s="79"/>
      <c r="K588" s="344"/>
      <c r="L588" s="343"/>
      <c r="M588" s="83"/>
      <c r="N588" s="91">
        <f>H588</f>
        <v>89468.42025000001</v>
      </c>
      <c r="O588" s="83"/>
      <c r="P588" s="31"/>
      <c r="Q588" s="344"/>
      <c r="R588" s="275"/>
    </row>
    <row r="589" spans="1:18" s="89" customFormat="1" x14ac:dyDescent="0.2">
      <c r="A589" s="275"/>
      <c r="B589" s="343"/>
      <c r="C589" s="63"/>
      <c r="D589" s="75" t="s">
        <v>14</v>
      </c>
      <c r="E589" s="339" t="s">
        <v>119</v>
      </c>
      <c r="F589" s="244">
        <v>0</v>
      </c>
      <c r="G589" s="249">
        <f>$H$3</f>
        <v>80</v>
      </c>
      <c r="H589" s="249">
        <f>+G589*F589</f>
        <v>0</v>
      </c>
      <c r="I589" s="253"/>
      <c r="J589" s="79"/>
      <c r="K589" s="344"/>
      <c r="L589" s="343"/>
      <c r="M589" s="83"/>
      <c r="N589" s="91">
        <f>H589</f>
        <v>0</v>
      </c>
      <c r="O589" s="83"/>
      <c r="P589" s="31"/>
      <c r="Q589" s="344"/>
      <c r="R589" s="275"/>
    </row>
    <row r="590" spans="1:18" s="89" customFormat="1" x14ac:dyDescent="0.2">
      <c r="A590" s="275"/>
      <c r="B590" s="343"/>
      <c r="C590" s="63"/>
      <c r="D590" s="75" t="s">
        <v>16</v>
      </c>
      <c r="E590" s="339" t="s">
        <v>119</v>
      </c>
      <c r="F590" s="244">
        <v>0</v>
      </c>
      <c r="G590" s="249">
        <f>$H$4</f>
        <v>40</v>
      </c>
      <c r="H590" s="249">
        <f>+G590*F590</f>
        <v>0</v>
      </c>
      <c r="I590" s="253"/>
      <c r="J590" s="79"/>
      <c r="K590" s="344"/>
      <c r="L590" s="343"/>
      <c r="M590" s="83"/>
      <c r="N590" s="91">
        <f>H590</f>
        <v>0</v>
      </c>
      <c r="O590" s="83"/>
      <c r="P590" s="31"/>
      <c r="Q590" s="344"/>
      <c r="R590" s="275"/>
    </row>
    <row r="591" spans="1:18" s="89" customFormat="1" x14ac:dyDescent="0.2">
      <c r="A591" s="275"/>
      <c r="B591" s="343"/>
      <c r="C591" s="63"/>
      <c r="D591" s="75" t="s">
        <v>13</v>
      </c>
      <c r="E591" s="337" t="s">
        <v>161</v>
      </c>
      <c r="F591" s="244">
        <f>E585</f>
        <v>31896.05</v>
      </c>
      <c r="G591" s="249">
        <v>0</v>
      </c>
      <c r="H591" s="249">
        <f>+G591*F591</f>
        <v>0</v>
      </c>
      <c r="I591" s="253"/>
      <c r="J591" s="79"/>
      <c r="K591" s="344"/>
      <c r="L591" s="343"/>
      <c r="M591" s="83"/>
      <c r="N591" s="91"/>
      <c r="O591" s="83">
        <f>SUM(H591)</f>
        <v>0</v>
      </c>
      <c r="P591" s="31"/>
      <c r="Q591" s="344"/>
      <c r="R591" s="275"/>
    </row>
    <row r="592" spans="1:18" s="89" customFormat="1" x14ac:dyDescent="0.2">
      <c r="A592" s="275"/>
      <c r="B592" s="343"/>
      <c r="C592" s="63"/>
      <c r="D592" s="75" t="s">
        <v>157</v>
      </c>
      <c r="E592" s="339" t="s">
        <v>117</v>
      </c>
      <c r="F592" s="241">
        <f>+G586+G587+G591</f>
        <v>4.25</v>
      </c>
      <c r="G592" s="248" t="s">
        <v>143</v>
      </c>
      <c r="H592" s="249">
        <f>SUM(H586:H591)</f>
        <v>225026.63274999999</v>
      </c>
      <c r="I592" s="245"/>
      <c r="J592" s="79"/>
      <c r="K592" s="344"/>
      <c r="L592" s="343"/>
      <c r="M592" s="239"/>
      <c r="N592" s="240"/>
      <c r="O592" s="91"/>
      <c r="P592" s="31"/>
      <c r="Q592" s="344"/>
      <c r="R592" s="275"/>
    </row>
    <row r="593" spans="1:18" s="89" customFormat="1" x14ac:dyDescent="0.2">
      <c r="A593" s="275"/>
      <c r="B593" s="343"/>
      <c r="C593" s="63"/>
      <c r="D593" s="116" t="s">
        <v>142</v>
      </c>
      <c r="E593" s="339" t="s">
        <v>117</v>
      </c>
      <c r="F593" s="244">
        <f>+E585+F588*E588</f>
        <v>52947.442999999999</v>
      </c>
      <c r="G593" s="478"/>
      <c r="H593" s="249">
        <f>+((F593/2)*F592)/6</f>
        <v>18752.219395833334</v>
      </c>
      <c r="I593" s="250"/>
      <c r="J593" s="236"/>
      <c r="K593" s="344"/>
      <c r="L593" s="343"/>
      <c r="M593" s="83"/>
      <c r="N593" s="92"/>
      <c r="O593" s="93">
        <f>H593</f>
        <v>18752.219395833334</v>
      </c>
      <c r="P593" s="88"/>
      <c r="Q593" s="344"/>
      <c r="R593" s="275"/>
    </row>
    <row r="594" spans="1:18" s="89" customFormat="1" x14ac:dyDescent="0.2">
      <c r="A594" s="275"/>
      <c r="B594" s="343"/>
      <c r="C594" s="63"/>
      <c r="D594" s="116" t="s">
        <v>191</v>
      </c>
      <c r="E594" s="244"/>
      <c r="F594" s="244">
        <f>+E585+F588*E588</f>
        <v>52947.442999999999</v>
      </c>
      <c r="G594" s="479"/>
      <c r="H594" s="249">
        <f>+(F594/30)*((F592*30)/20)</f>
        <v>11251.331637499999</v>
      </c>
      <c r="I594" s="251">
        <v>0</v>
      </c>
      <c r="J594" s="93">
        <f>+(H592+H593+H594)*C585</f>
        <v>255030.18378333331</v>
      </c>
      <c r="K594" s="344"/>
      <c r="L594" s="343"/>
      <c r="M594" s="83"/>
      <c r="N594" s="92"/>
      <c r="O594" s="93">
        <f>H594</f>
        <v>11251.331637499999</v>
      </c>
      <c r="P594" s="88"/>
      <c r="Q594" s="344"/>
      <c r="R594" s="275"/>
    </row>
    <row r="595" spans="1:18" s="89" customFormat="1" x14ac:dyDescent="0.2">
      <c r="A595" s="275"/>
      <c r="B595" s="343"/>
      <c r="C595" s="63"/>
      <c r="D595" s="94"/>
      <c r="E595" s="255"/>
      <c r="F595" s="241"/>
      <c r="G595" s="483"/>
      <c r="H595" s="453"/>
      <c r="I595" s="253"/>
      <c r="J595" s="79"/>
      <c r="K595" s="344"/>
      <c r="L595" s="343"/>
      <c r="M595" s="87"/>
      <c r="N595" s="79"/>
      <c r="O595" s="79"/>
      <c r="P595" s="88"/>
      <c r="Q595" s="344"/>
      <c r="R595" s="275"/>
    </row>
    <row r="596" spans="1:18" s="89" customFormat="1" ht="15" customHeight="1" x14ac:dyDescent="0.2">
      <c r="A596" s="275"/>
      <c r="B596" s="360"/>
      <c r="C596" s="13">
        <v>1</v>
      </c>
      <c r="D596" s="260" t="s">
        <v>344</v>
      </c>
      <c r="E596" s="18">
        <v>43881.81</v>
      </c>
      <c r="F596" s="241"/>
      <c r="G596" s="34"/>
      <c r="H596" s="242"/>
      <c r="I596" s="254"/>
      <c r="J596" s="146"/>
      <c r="K596" s="361"/>
      <c r="L596" s="360"/>
      <c r="M596" s="87"/>
      <c r="N596" s="79"/>
      <c r="O596" s="79"/>
      <c r="P596" s="88"/>
      <c r="Q596" s="361"/>
      <c r="R596" s="275"/>
    </row>
    <row r="597" spans="1:18" s="89" customFormat="1" x14ac:dyDescent="0.2">
      <c r="A597" s="275"/>
      <c r="B597" s="343"/>
      <c r="C597" s="63"/>
      <c r="D597" s="75" t="s">
        <v>84</v>
      </c>
      <c r="E597" s="336" t="s">
        <v>160</v>
      </c>
      <c r="F597" s="244">
        <f>E596</f>
        <v>43881.81</v>
      </c>
      <c r="G597" s="62">
        <v>0.5</v>
      </c>
      <c r="H597" s="249">
        <f>+G597*F597</f>
        <v>21940.904999999999</v>
      </c>
      <c r="I597" s="253"/>
      <c r="J597" s="79"/>
      <c r="K597" s="344"/>
      <c r="L597" s="343"/>
      <c r="M597" s="83">
        <f>H597</f>
        <v>21940.904999999999</v>
      </c>
      <c r="N597" s="91"/>
      <c r="O597" s="83"/>
      <c r="P597" s="31"/>
      <c r="Q597" s="344"/>
      <c r="R597" s="275"/>
    </row>
    <row r="598" spans="1:18" s="89" customFormat="1" x14ac:dyDescent="0.2">
      <c r="A598" s="275"/>
      <c r="B598" s="343"/>
      <c r="C598" s="63"/>
      <c r="D598" s="75" t="s">
        <v>77</v>
      </c>
      <c r="E598" s="337" t="s">
        <v>160</v>
      </c>
      <c r="F598" s="244">
        <f>E596</f>
        <v>43881.81</v>
      </c>
      <c r="G598" s="62">
        <v>4</v>
      </c>
      <c r="H598" s="249">
        <f>+G598*F598</f>
        <v>175527.24</v>
      </c>
      <c r="I598" s="253"/>
      <c r="J598" s="79"/>
      <c r="K598" s="344"/>
      <c r="L598" s="343"/>
      <c r="M598" s="83"/>
      <c r="N598" s="91">
        <f>H598</f>
        <v>175527.24</v>
      </c>
      <c r="O598" s="83"/>
      <c r="P598" s="31"/>
      <c r="Q598" s="344"/>
      <c r="R598" s="275"/>
    </row>
    <row r="599" spans="1:18" s="89" customFormat="1" x14ac:dyDescent="0.2">
      <c r="A599" s="275"/>
      <c r="B599" s="343"/>
      <c r="C599" s="63"/>
      <c r="D599" s="75" t="s">
        <v>158</v>
      </c>
      <c r="E599" s="247">
        <v>66</v>
      </c>
      <c r="F599" s="244">
        <f>E596/150*1.5</f>
        <v>438.81809999999996</v>
      </c>
      <c r="G599" s="62">
        <f>+F603</f>
        <v>4.5</v>
      </c>
      <c r="H599" s="249">
        <f>+G599*F599*E599</f>
        <v>130328.97569999998</v>
      </c>
      <c r="I599" s="253"/>
      <c r="J599" s="79"/>
      <c r="K599" s="344"/>
      <c r="L599" s="343"/>
      <c r="M599" s="83"/>
      <c r="N599" s="91">
        <f>H599</f>
        <v>130328.97569999998</v>
      </c>
      <c r="O599" s="83"/>
      <c r="P599" s="31"/>
      <c r="Q599" s="344"/>
      <c r="R599" s="275"/>
    </row>
    <row r="600" spans="1:18" s="89" customFormat="1" x14ac:dyDescent="0.2">
      <c r="A600" s="275"/>
      <c r="B600" s="343"/>
      <c r="C600" s="63"/>
      <c r="D600" s="75" t="s">
        <v>14</v>
      </c>
      <c r="E600" s="339" t="s">
        <v>119</v>
      </c>
      <c r="F600" s="244">
        <v>0</v>
      </c>
      <c r="G600" s="28">
        <f>$H$3</f>
        <v>80</v>
      </c>
      <c r="H600" s="249">
        <f>+G600*F600</f>
        <v>0</v>
      </c>
      <c r="I600" s="253"/>
      <c r="J600" s="79"/>
      <c r="K600" s="344"/>
      <c r="L600" s="343"/>
      <c r="M600" s="83"/>
      <c r="N600" s="91">
        <f>H600</f>
        <v>0</v>
      </c>
      <c r="O600" s="83"/>
      <c r="P600" s="31"/>
      <c r="Q600" s="344"/>
      <c r="R600" s="275"/>
    </row>
    <row r="601" spans="1:18" s="89" customFormat="1" x14ac:dyDescent="0.2">
      <c r="A601" s="275"/>
      <c r="B601" s="343"/>
      <c r="C601" s="63"/>
      <c r="D601" s="75" t="s">
        <v>16</v>
      </c>
      <c r="E601" s="339" t="s">
        <v>119</v>
      </c>
      <c r="F601" s="244">
        <v>0</v>
      </c>
      <c r="G601" s="249">
        <f>$H$4</f>
        <v>40</v>
      </c>
      <c r="H601" s="249">
        <f>+G601*F601</f>
        <v>0</v>
      </c>
      <c r="I601" s="253"/>
      <c r="J601" s="79"/>
      <c r="K601" s="344"/>
      <c r="L601" s="343"/>
      <c r="M601" s="83"/>
      <c r="N601" s="91">
        <f>H601</f>
        <v>0</v>
      </c>
      <c r="O601" s="83"/>
      <c r="P601" s="31"/>
      <c r="Q601" s="344"/>
      <c r="R601" s="275"/>
    </row>
    <row r="602" spans="1:18" s="89" customFormat="1" x14ac:dyDescent="0.2">
      <c r="A602" s="275"/>
      <c r="B602" s="343"/>
      <c r="C602" s="63"/>
      <c r="D602" s="75" t="s">
        <v>13</v>
      </c>
      <c r="E602" s="337" t="s">
        <v>161</v>
      </c>
      <c r="F602" s="244">
        <f>E596</f>
        <v>43881.81</v>
      </c>
      <c r="G602" s="249">
        <v>0</v>
      </c>
      <c r="H602" s="249">
        <f>+G602*F602</f>
        <v>0</v>
      </c>
      <c r="I602" s="253"/>
      <c r="J602" s="79"/>
      <c r="K602" s="344"/>
      <c r="L602" s="343"/>
      <c r="M602" s="83"/>
      <c r="N602" s="91"/>
      <c r="O602" s="83">
        <f>SUM(H602)</f>
        <v>0</v>
      </c>
      <c r="P602" s="31"/>
      <c r="Q602" s="344"/>
      <c r="R602" s="275"/>
    </row>
    <row r="603" spans="1:18" s="89" customFormat="1" x14ac:dyDescent="0.2">
      <c r="A603" s="275"/>
      <c r="B603" s="343"/>
      <c r="C603" s="63"/>
      <c r="D603" s="75" t="s">
        <v>157</v>
      </c>
      <c r="E603" s="339" t="s">
        <v>117</v>
      </c>
      <c r="F603" s="241">
        <f>+G597+G598+G602</f>
        <v>4.5</v>
      </c>
      <c r="G603" s="248" t="s">
        <v>143</v>
      </c>
      <c r="H603" s="249">
        <f>SUM(H597:H602)</f>
        <v>327797.12069999997</v>
      </c>
      <c r="I603" s="245"/>
      <c r="J603" s="79"/>
      <c r="K603" s="344"/>
      <c r="L603" s="343"/>
      <c r="M603" s="239"/>
      <c r="N603" s="240"/>
      <c r="O603" s="91"/>
      <c r="P603" s="31"/>
      <c r="Q603" s="344"/>
      <c r="R603" s="275"/>
    </row>
    <row r="604" spans="1:18" s="89" customFormat="1" x14ac:dyDescent="0.2">
      <c r="A604" s="275"/>
      <c r="B604" s="343"/>
      <c r="C604" s="63"/>
      <c r="D604" s="116" t="s">
        <v>142</v>
      </c>
      <c r="E604" s="339" t="s">
        <v>117</v>
      </c>
      <c r="F604" s="244">
        <f>+E596+F599*E599</f>
        <v>72843.804600000003</v>
      </c>
      <c r="G604" s="478"/>
      <c r="H604" s="249">
        <f>+((F604/2)*F603)/6</f>
        <v>27316.426725000001</v>
      </c>
      <c r="I604" s="250"/>
      <c r="J604" s="236"/>
      <c r="K604" s="344"/>
      <c r="L604" s="343"/>
      <c r="M604" s="83"/>
      <c r="N604" s="92"/>
      <c r="O604" s="93">
        <f>H604</f>
        <v>27316.426725000001</v>
      </c>
      <c r="P604" s="88"/>
      <c r="Q604" s="344"/>
      <c r="R604" s="275"/>
    </row>
    <row r="605" spans="1:18" s="89" customFormat="1" x14ac:dyDescent="0.2">
      <c r="A605" s="275"/>
      <c r="B605" s="343"/>
      <c r="C605" s="63"/>
      <c r="D605" s="116" t="s">
        <v>191</v>
      </c>
      <c r="E605" s="244"/>
      <c r="F605" s="244">
        <f>+E596+F599*E599</f>
        <v>72843.804600000003</v>
      </c>
      <c r="G605" s="479"/>
      <c r="H605" s="249">
        <f>+(F605/30)*((F603*30)/20)</f>
        <v>16389.856035000001</v>
      </c>
      <c r="I605" s="251">
        <v>0</v>
      </c>
      <c r="J605" s="93">
        <f>+(H603+H604+H605)*C596</f>
        <v>371503.40346</v>
      </c>
      <c r="K605" s="344"/>
      <c r="L605" s="343"/>
      <c r="M605" s="83"/>
      <c r="N605" s="92"/>
      <c r="O605" s="93">
        <f>H605</f>
        <v>16389.856035000001</v>
      </c>
      <c r="P605" s="88"/>
      <c r="Q605" s="344"/>
      <c r="R605" s="275"/>
    </row>
    <row r="606" spans="1:18" s="89" customFormat="1" x14ac:dyDescent="0.2">
      <c r="A606" s="275"/>
      <c r="B606" s="343"/>
      <c r="C606" s="63"/>
      <c r="D606" s="94"/>
      <c r="E606" s="7"/>
      <c r="F606" s="241"/>
      <c r="G606" s="483"/>
      <c r="H606" s="453"/>
      <c r="I606" s="253"/>
      <c r="J606" s="79"/>
      <c r="K606" s="344"/>
      <c r="L606" s="343"/>
      <c r="M606" s="87"/>
      <c r="N606" s="79"/>
      <c r="O606" s="79"/>
      <c r="P606" s="88"/>
      <c r="Q606" s="344"/>
      <c r="R606" s="275"/>
    </row>
    <row r="607" spans="1:18" s="89" customFormat="1" ht="15" customHeight="1" x14ac:dyDescent="0.2">
      <c r="A607" s="275"/>
      <c r="B607" s="360"/>
      <c r="C607" s="13">
        <v>1</v>
      </c>
      <c r="D607" s="260" t="s">
        <v>177</v>
      </c>
      <c r="E607" s="18">
        <v>34474.22</v>
      </c>
      <c r="F607" s="241"/>
      <c r="G607" s="480"/>
      <c r="H607" s="481"/>
      <c r="I607" s="254"/>
      <c r="J607" s="146"/>
      <c r="K607" s="361"/>
      <c r="L607" s="360"/>
      <c r="M607" s="87"/>
      <c r="N607" s="79"/>
      <c r="O607" s="79"/>
      <c r="P607" s="88"/>
      <c r="Q607" s="361"/>
      <c r="R607" s="275"/>
    </row>
    <row r="608" spans="1:18" s="89" customFormat="1" x14ac:dyDescent="0.2">
      <c r="A608" s="275"/>
      <c r="B608" s="343"/>
      <c r="C608" s="63"/>
      <c r="D608" s="75" t="s">
        <v>84</v>
      </c>
      <c r="E608" s="336" t="s">
        <v>160</v>
      </c>
      <c r="F608" s="244">
        <f>E607</f>
        <v>34474.22</v>
      </c>
      <c r="G608" s="482">
        <v>0.5</v>
      </c>
      <c r="H608" s="249">
        <f>+G608*F608</f>
        <v>17237.11</v>
      </c>
      <c r="I608" s="253"/>
      <c r="J608" s="79"/>
      <c r="K608" s="344"/>
      <c r="L608" s="343"/>
      <c r="M608" s="83">
        <f>H608</f>
        <v>17237.11</v>
      </c>
      <c r="N608" s="91"/>
      <c r="O608" s="83"/>
      <c r="P608" s="31"/>
      <c r="Q608" s="344"/>
      <c r="R608" s="275"/>
    </row>
    <row r="609" spans="1:18" s="89" customFormat="1" x14ac:dyDescent="0.2">
      <c r="A609" s="275"/>
      <c r="B609" s="343"/>
      <c r="C609" s="63"/>
      <c r="D609" s="75" t="s">
        <v>77</v>
      </c>
      <c r="E609" s="337" t="s">
        <v>160</v>
      </c>
      <c r="F609" s="244">
        <f>E607</f>
        <v>34474.22</v>
      </c>
      <c r="G609" s="482">
        <v>4</v>
      </c>
      <c r="H609" s="249">
        <f>+G609*F609</f>
        <v>137896.88</v>
      </c>
      <c r="I609" s="253"/>
      <c r="J609" s="79"/>
      <c r="K609" s="344"/>
      <c r="L609" s="343"/>
      <c r="M609" s="83"/>
      <c r="N609" s="91">
        <f>H609</f>
        <v>137896.88</v>
      </c>
      <c r="O609" s="83"/>
      <c r="P609" s="31"/>
      <c r="Q609" s="344"/>
      <c r="R609" s="275"/>
    </row>
    <row r="610" spans="1:18" s="89" customFormat="1" x14ac:dyDescent="0.2">
      <c r="A610" s="275"/>
      <c r="B610" s="343"/>
      <c r="C610" s="63"/>
      <c r="D610" s="75" t="s">
        <v>158</v>
      </c>
      <c r="E610" s="247">
        <v>66</v>
      </c>
      <c r="F610" s="244">
        <f>E607/150*1.5</f>
        <v>344.74220000000003</v>
      </c>
      <c r="G610" s="482">
        <f>+F614</f>
        <v>4.5</v>
      </c>
      <c r="H610" s="249">
        <f>+G610*F610*E610</f>
        <v>102388.43340000001</v>
      </c>
      <c r="I610" s="253"/>
      <c r="J610" s="79"/>
      <c r="K610" s="344"/>
      <c r="L610" s="343"/>
      <c r="M610" s="83"/>
      <c r="N610" s="91">
        <f>H610</f>
        <v>102388.43340000001</v>
      </c>
      <c r="O610" s="83"/>
      <c r="P610" s="31"/>
      <c r="Q610" s="344"/>
      <c r="R610" s="275"/>
    </row>
    <row r="611" spans="1:18" s="89" customFormat="1" x14ac:dyDescent="0.2">
      <c r="A611" s="275"/>
      <c r="B611" s="343"/>
      <c r="C611" s="63"/>
      <c r="D611" s="75" t="s">
        <v>14</v>
      </c>
      <c r="E611" s="339" t="s">
        <v>119</v>
      </c>
      <c r="F611" s="244">
        <v>0</v>
      </c>
      <c r="G611" s="249">
        <f>$H$3</f>
        <v>80</v>
      </c>
      <c r="H611" s="249">
        <f>+G611*F611</f>
        <v>0</v>
      </c>
      <c r="I611" s="253"/>
      <c r="J611" s="79"/>
      <c r="K611" s="344"/>
      <c r="L611" s="343"/>
      <c r="M611" s="83"/>
      <c r="N611" s="91">
        <f>H611</f>
        <v>0</v>
      </c>
      <c r="O611" s="83"/>
      <c r="P611" s="31"/>
      <c r="Q611" s="344"/>
      <c r="R611" s="275"/>
    </row>
    <row r="612" spans="1:18" s="89" customFormat="1" x14ac:dyDescent="0.2">
      <c r="A612" s="275"/>
      <c r="B612" s="343"/>
      <c r="C612" s="63"/>
      <c r="D612" s="75" t="s">
        <v>16</v>
      </c>
      <c r="E612" s="339" t="s">
        <v>119</v>
      </c>
      <c r="F612" s="244">
        <v>0</v>
      </c>
      <c r="G612" s="249">
        <f>$H$4</f>
        <v>40</v>
      </c>
      <c r="H612" s="249">
        <f>+G612*F612</f>
        <v>0</v>
      </c>
      <c r="I612" s="253"/>
      <c r="J612" s="79"/>
      <c r="K612" s="344"/>
      <c r="L612" s="343"/>
      <c r="M612" s="83"/>
      <c r="N612" s="91">
        <f>H612</f>
        <v>0</v>
      </c>
      <c r="O612" s="83"/>
      <c r="P612" s="31"/>
      <c r="Q612" s="344"/>
      <c r="R612" s="275"/>
    </row>
    <row r="613" spans="1:18" s="89" customFormat="1" x14ac:dyDescent="0.2">
      <c r="A613" s="275"/>
      <c r="B613" s="343"/>
      <c r="C613" s="63"/>
      <c r="D613" s="75" t="s">
        <v>13</v>
      </c>
      <c r="E613" s="337" t="s">
        <v>161</v>
      </c>
      <c r="F613" s="244">
        <f>E607</f>
        <v>34474.22</v>
      </c>
      <c r="G613" s="249">
        <v>0</v>
      </c>
      <c r="H613" s="249">
        <f>+G613*F613</f>
        <v>0</v>
      </c>
      <c r="I613" s="253"/>
      <c r="J613" s="79"/>
      <c r="K613" s="344"/>
      <c r="L613" s="343"/>
      <c r="M613" s="83"/>
      <c r="N613" s="91"/>
      <c r="O613" s="83">
        <f>SUM(H613)</f>
        <v>0</v>
      </c>
      <c r="P613" s="31"/>
      <c r="Q613" s="344"/>
      <c r="R613" s="275"/>
    </row>
    <row r="614" spans="1:18" s="89" customFormat="1" x14ac:dyDescent="0.2">
      <c r="A614" s="275"/>
      <c r="B614" s="343"/>
      <c r="C614" s="63"/>
      <c r="D614" s="75" t="s">
        <v>157</v>
      </c>
      <c r="E614" s="339" t="s">
        <v>117</v>
      </c>
      <c r="F614" s="241">
        <f>+G608+G609+G613</f>
        <v>4.5</v>
      </c>
      <c r="G614" s="248" t="s">
        <v>143</v>
      </c>
      <c r="H614" s="249">
        <f>SUM(H608:H613)</f>
        <v>257522.4234</v>
      </c>
      <c r="I614" s="245"/>
      <c r="J614" s="79"/>
      <c r="K614" s="344"/>
      <c r="L614" s="343"/>
      <c r="M614" s="239"/>
      <c r="N614" s="240"/>
      <c r="O614" s="91"/>
      <c r="P614" s="31"/>
      <c r="Q614" s="344"/>
      <c r="R614" s="275"/>
    </row>
    <row r="615" spans="1:18" s="89" customFormat="1" x14ac:dyDescent="0.2">
      <c r="A615" s="275"/>
      <c r="B615" s="343"/>
      <c r="C615" s="63"/>
      <c r="D615" s="116" t="s">
        <v>142</v>
      </c>
      <c r="E615" s="339" t="s">
        <v>117</v>
      </c>
      <c r="F615" s="244">
        <f>+E607+F610*E610</f>
        <v>57227.205200000004</v>
      </c>
      <c r="G615" s="478"/>
      <c r="H615" s="249">
        <f>+((F615/2)*F614)/6</f>
        <v>21460.201950000002</v>
      </c>
      <c r="I615" s="250"/>
      <c r="J615" s="236"/>
      <c r="K615" s="344"/>
      <c r="L615" s="343"/>
      <c r="M615" s="83"/>
      <c r="N615" s="92"/>
      <c r="O615" s="93">
        <f>H615</f>
        <v>21460.201950000002</v>
      </c>
      <c r="P615" s="88"/>
      <c r="Q615" s="344"/>
      <c r="R615" s="275"/>
    </row>
    <row r="616" spans="1:18" s="89" customFormat="1" x14ac:dyDescent="0.2">
      <c r="A616" s="275"/>
      <c r="B616" s="343"/>
      <c r="C616" s="63"/>
      <c r="D616" s="116" t="s">
        <v>191</v>
      </c>
      <c r="E616" s="244"/>
      <c r="F616" s="244">
        <f>+E607+F610*E610</f>
        <v>57227.205200000004</v>
      </c>
      <c r="G616" s="479"/>
      <c r="H616" s="249">
        <f>+(F616/30)*((F614*30)/20)</f>
        <v>12876.12117</v>
      </c>
      <c r="I616" s="251">
        <v>0</v>
      </c>
      <c r="J616" s="93">
        <f>+(H614+H615+H616)*C607</f>
        <v>291858.74651999999</v>
      </c>
      <c r="K616" s="344"/>
      <c r="L616" s="343"/>
      <c r="M616" s="83"/>
      <c r="N616" s="92"/>
      <c r="O616" s="93">
        <f>H616</f>
        <v>12876.12117</v>
      </c>
      <c r="P616" s="88"/>
      <c r="Q616" s="344"/>
      <c r="R616" s="275"/>
    </row>
    <row r="617" spans="1:18" s="89" customFormat="1" x14ac:dyDescent="0.2">
      <c r="A617" s="275"/>
      <c r="B617" s="343"/>
      <c r="C617" s="63"/>
      <c r="D617" s="94"/>
      <c r="E617" s="7"/>
      <c r="F617" s="241"/>
      <c r="G617" s="483"/>
      <c r="H617" s="453"/>
      <c r="I617" s="253"/>
      <c r="J617" s="79"/>
      <c r="K617" s="344"/>
      <c r="L617" s="343"/>
      <c r="M617" s="87"/>
      <c r="N617" s="79"/>
      <c r="O617" s="79"/>
      <c r="P617" s="88"/>
      <c r="Q617" s="344"/>
      <c r="R617" s="275"/>
    </row>
    <row r="618" spans="1:18" s="89" customFormat="1" ht="15" customHeight="1" x14ac:dyDescent="0.2">
      <c r="A618" s="275"/>
      <c r="B618" s="360"/>
      <c r="C618" s="13">
        <v>2</v>
      </c>
      <c r="D618" s="260" t="s">
        <v>178</v>
      </c>
      <c r="E618" s="18">
        <v>31896.05</v>
      </c>
      <c r="F618" s="241"/>
      <c r="G618" s="480"/>
      <c r="H618" s="481"/>
      <c r="I618" s="254"/>
      <c r="J618" s="146"/>
      <c r="K618" s="361"/>
      <c r="L618" s="360"/>
      <c r="M618" s="87"/>
      <c r="N618" s="79"/>
      <c r="O618" s="79"/>
      <c r="P618" s="88"/>
      <c r="Q618" s="361"/>
      <c r="R618" s="275"/>
    </row>
    <row r="619" spans="1:18" s="89" customFormat="1" x14ac:dyDescent="0.2">
      <c r="A619" s="275"/>
      <c r="B619" s="343"/>
      <c r="C619" s="63"/>
      <c r="D619" s="75" t="s">
        <v>84</v>
      </c>
      <c r="E619" s="336" t="s">
        <v>160</v>
      </c>
      <c r="F619" s="244">
        <f>E618</f>
        <v>31896.05</v>
      </c>
      <c r="G619" s="62">
        <v>0</v>
      </c>
      <c r="H619" s="249">
        <f>+G619*F619</f>
        <v>0</v>
      </c>
      <c r="I619" s="253"/>
      <c r="J619" s="79"/>
      <c r="K619" s="344"/>
      <c r="L619" s="343"/>
      <c r="M619" s="83">
        <f>H619</f>
        <v>0</v>
      </c>
      <c r="N619" s="91"/>
      <c r="O619" s="83"/>
      <c r="P619" s="31"/>
      <c r="Q619" s="344"/>
      <c r="R619" s="275"/>
    </row>
    <row r="620" spans="1:18" s="89" customFormat="1" x14ac:dyDescent="0.2">
      <c r="A620" s="275"/>
      <c r="B620" s="343"/>
      <c r="C620" s="63"/>
      <c r="D620" s="469" t="s">
        <v>77</v>
      </c>
      <c r="E620" s="485" t="s">
        <v>160</v>
      </c>
      <c r="F620" s="474">
        <f>E618</f>
        <v>31896.05</v>
      </c>
      <c r="G620" s="482">
        <v>4</v>
      </c>
      <c r="H620" s="249">
        <f>+G620*F620</f>
        <v>127584.2</v>
      </c>
      <c r="I620" s="253"/>
      <c r="J620" s="79"/>
      <c r="K620" s="344"/>
      <c r="L620" s="343"/>
      <c r="M620" s="83"/>
      <c r="N620" s="91">
        <f>H620</f>
        <v>127584.2</v>
      </c>
      <c r="O620" s="83"/>
      <c r="P620" s="31"/>
      <c r="Q620" s="344"/>
      <c r="R620" s="275"/>
    </row>
    <row r="621" spans="1:18" s="89" customFormat="1" x14ac:dyDescent="0.2">
      <c r="A621" s="275"/>
      <c r="B621" s="343"/>
      <c r="C621" s="63"/>
      <c r="D621" s="469" t="s">
        <v>158</v>
      </c>
      <c r="E621" s="247">
        <v>66</v>
      </c>
      <c r="F621" s="474">
        <f>E618/150*1.5</f>
        <v>318.96050000000002</v>
      </c>
      <c r="G621" s="482">
        <f>+F625</f>
        <v>4</v>
      </c>
      <c r="H621" s="249">
        <f>+G621*F621*E621</f>
        <v>84205.572</v>
      </c>
      <c r="I621" s="253"/>
      <c r="J621" s="79"/>
      <c r="K621" s="344"/>
      <c r="L621" s="343"/>
      <c r="M621" s="83"/>
      <c r="N621" s="91">
        <f>H621</f>
        <v>84205.572</v>
      </c>
      <c r="O621" s="83"/>
      <c r="P621" s="31"/>
      <c r="Q621" s="344"/>
      <c r="R621" s="275"/>
    </row>
    <row r="622" spans="1:18" s="89" customFormat="1" x14ac:dyDescent="0.2">
      <c r="A622" s="275"/>
      <c r="B622" s="343"/>
      <c r="C622" s="63"/>
      <c r="D622" s="469" t="s">
        <v>14</v>
      </c>
      <c r="E622" s="484" t="s">
        <v>119</v>
      </c>
      <c r="F622" s="474">
        <v>0</v>
      </c>
      <c r="G622" s="249">
        <f>$H$3</f>
        <v>80</v>
      </c>
      <c r="H622" s="249">
        <f>+G622*F622</f>
        <v>0</v>
      </c>
      <c r="I622" s="253"/>
      <c r="J622" s="79"/>
      <c r="K622" s="344"/>
      <c r="L622" s="343"/>
      <c r="M622" s="83"/>
      <c r="N622" s="91">
        <f>H622</f>
        <v>0</v>
      </c>
      <c r="O622" s="83"/>
      <c r="P622" s="31"/>
      <c r="Q622" s="344"/>
      <c r="R622" s="275"/>
    </row>
    <row r="623" spans="1:18" s="89" customFormat="1" x14ac:dyDescent="0.2">
      <c r="A623" s="275"/>
      <c r="B623" s="343"/>
      <c r="C623" s="63"/>
      <c r="D623" s="469" t="s">
        <v>16</v>
      </c>
      <c r="E623" s="484" t="s">
        <v>119</v>
      </c>
      <c r="F623" s="474">
        <v>0</v>
      </c>
      <c r="G623" s="249">
        <f>$H$4</f>
        <v>40</v>
      </c>
      <c r="H623" s="249">
        <f>+G623*F623</f>
        <v>0</v>
      </c>
      <c r="I623" s="253"/>
      <c r="J623" s="79"/>
      <c r="K623" s="344"/>
      <c r="L623" s="343"/>
      <c r="M623" s="83"/>
      <c r="N623" s="91">
        <f>H623</f>
        <v>0</v>
      </c>
      <c r="O623" s="83"/>
      <c r="P623" s="31"/>
      <c r="Q623" s="344"/>
      <c r="R623" s="275"/>
    </row>
    <row r="624" spans="1:18" s="89" customFormat="1" x14ac:dyDescent="0.2">
      <c r="A624" s="275"/>
      <c r="B624" s="343"/>
      <c r="C624" s="63"/>
      <c r="D624" s="469" t="s">
        <v>13</v>
      </c>
      <c r="E624" s="485" t="s">
        <v>161</v>
      </c>
      <c r="F624" s="474">
        <f>E618</f>
        <v>31896.05</v>
      </c>
      <c r="G624" s="249">
        <v>0</v>
      </c>
      <c r="H624" s="249">
        <f>+G624*F624</f>
        <v>0</v>
      </c>
      <c r="I624" s="253"/>
      <c r="J624" s="79"/>
      <c r="K624" s="344"/>
      <c r="L624" s="343"/>
      <c r="M624" s="83"/>
      <c r="N624" s="91"/>
      <c r="O624" s="83">
        <f>SUM(H624)</f>
        <v>0</v>
      </c>
      <c r="P624" s="31"/>
      <c r="Q624" s="344"/>
      <c r="R624" s="275"/>
    </row>
    <row r="625" spans="1:18" s="89" customFormat="1" x14ac:dyDescent="0.2">
      <c r="A625" s="275"/>
      <c r="B625" s="343"/>
      <c r="C625" s="63"/>
      <c r="D625" s="469" t="s">
        <v>157</v>
      </c>
      <c r="E625" s="484" t="s">
        <v>117</v>
      </c>
      <c r="F625" s="486">
        <f>+G619+G620+G624</f>
        <v>4</v>
      </c>
      <c r="G625" s="248" t="s">
        <v>143</v>
      </c>
      <c r="H625" s="249">
        <f>SUM(H619:H624)</f>
        <v>211789.772</v>
      </c>
      <c r="I625" s="245"/>
      <c r="J625" s="79"/>
      <c r="K625" s="344"/>
      <c r="L625" s="343"/>
      <c r="M625" s="239"/>
      <c r="N625" s="240"/>
      <c r="O625" s="91"/>
      <c r="P625" s="31"/>
      <c r="Q625" s="344"/>
      <c r="R625" s="275"/>
    </row>
    <row r="626" spans="1:18" s="89" customFormat="1" x14ac:dyDescent="0.2">
      <c r="A626" s="275"/>
      <c r="B626" s="343"/>
      <c r="C626" s="63"/>
      <c r="D626" s="487" t="s">
        <v>142</v>
      </c>
      <c r="E626" s="484" t="s">
        <v>117</v>
      </c>
      <c r="F626" s="474">
        <f>+E618+F621*E621</f>
        <v>52947.442999999999</v>
      </c>
      <c r="G626" s="478"/>
      <c r="H626" s="249">
        <f>+((F626/2)*F625)/6</f>
        <v>17649.147666666668</v>
      </c>
      <c r="I626" s="250"/>
      <c r="J626" s="236"/>
      <c r="K626" s="344"/>
      <c r="L626" s="343"/>
      <c r="M626" s="83"/>
      <c r="N626" s="92"/>
      <c r="O626" s="93">
        <f>H626</f>
        <v>17649.147666666668</v>
      </c>
      <c r="P626" s="88"/>
      <c r="Q626" s="344"/>
      <c r="R626" s="275"/>
    </row>
    <row r="627" spans="1:18" s="89" customFormat="1" x14ac:dyDescent="0.2">
      <c r="A627" s="275"/>
      <c r="B627" s="343"/>
      <c r="C627" s="63"/>
      <c r="D627" s="487" t="s">
        <v>191</v>
      </c>
      <c r="E627" s="474"/>
      <c r="F627" s="474">
        <f>+E618+F621*E621</f>
        <v>52947.442999999999</v>
      </c>
      <c r="G627" s="479"/>
      <c r="H627" s="249">
        <f>+(F627/30)*((F625*30)/20)</f>
        <v>10589.488599999999</v>
      </c>
      <c r="I627" s="251">
        <v>0</v>
      </c>
      <c r="J627" s="93">
        <f>+(H625+H626+H627)*C618</f>
        <v>480056.81653333333</v>
      </c>
      <c r="K627" s="344"/>
      <c r="L627" s="343"/>
      <c r="M627" s="83"/>
      <c r="N627" s="92"/>
      <c r="O627" s="93">
        <f>H627</f>
        <v>10589.488599999999</v>
      </c>
      <c r="P627" s="88"/>
      <c r="Q627" s="344"/>
      <c r="R627" s="275"/>
    </row>
    <row r="628" spans="1:18" s="89" customFormat="1" x14ac:dyDescent="0.2">
      <c r="A628" s="275"/>
      <c r="B628" s="343"/>
      <c r="C628" s="63"/>
      <c r="D628" s="488"/>
      <c r="E628" s="466"/>
      <c r="F628" s="486"/>
      <c r="G628" s="483"/>
      <c r="H628" s="453"/>
      <c r="I628" s="253"/>
      <c r="J628" s="79"/>
      <c r="K628" s="344"/>
      <c r="L628" s="343"/>
      <c r="M628" s="87"/>
      <c r="N628" s="79"/>
      <c r="O628" s="79"/>
      <c r="P628" s="88"/>
      <c r="Q628" s="344"/>
      <c r="R628" s="275"/>
    </row>
    <row r="629" spans="1:18" s="89" customFormat="1" ht="15" customHeight="1" x14ac:dyDescent="0.2">
      <c r="A629" s="275"/>
      <c r="B629" s="360"/>
      <c r="C629" s="13">
        <v>1</v>
      </c>
      <c r="D629" s="264" t="s">
        <v>179</v>
      </c>
      <c r="E629" s="489">
        <v>50651.39</v>
      </c>
      <c r="F629" s="486"/>
      <c r="G629" s="480"/>
      <c r="H629" s="481"/>
      <c r="I629" s="254"/>
      <c r="J629" s="146"/>
      <c r="K629" s="361"/>
      <c r="L629" s="360"/>
      <c r="M629" s="87"/>
      <c r="N629" s="79"/>
      <c r="O629" s="79"/>
      <c r="P629" s="88"/>
      <c r="Q629" s="361"/>
      <c r="R629" s="275"/>
    </row>
    <row r="630" spans="1:18" s="89" customFormat="1" x14ac:dyDescent="0.2">
      <c r="A630" s="275"/>
      <c r="B630" s="343"/>
      <c r="C630" s="63"/>
      <c r="D630" s="469" t="s">
        <v>84</v>
      </c>
      <c r="E630" s="490" t="s">
        <v>160</v>
      </c>
      <c r="F630" s="474">
        <f>E629</f>
        <v>50651.39</v>
      </c>
      <c r="G630" s="482">
        <v>0.25</v>
      </c>
      <c r="H630" s="249">
        <f>+G630*F630</f>
        <v>12662.8475</v>
      </c>
      <c r="I630" s="253"/>
      <c r="J630" s="79"/>
      <c r="K630" s="344"/>
      <c r="L630" s="343"/>
      <c r="M630" s="83">
        <f>H630</f>
        <v>12662.8475</v>
      </c>
      <c r="N630" s="91"/>
      <c r="O630" s="83"/>
      <c r="P630" s="31"/>
      <c r="Q630" s="344"/>
      <c r="R630" s="275"/>
    </row>
    <row r="631" spans="1:18" s="89" customFormat="1" x14ac:dyDescent="0.2">
      <c r="A631" s="275"/>
      <c r="B631" s="343"/>
      <c r="C631" s="63"/>
      <c r="D631" s="469" t="s">
        <v>77</v>
      </c>
      <c r="E631" s="485" t="s">
        <v>160</v>
      </c>
      <c r="F631" s="474">
        <f>E629</f>
        <v>50651.39</v>
      </c>
      <c r="G631" s="482">
        <v>4</v>
      </c>
      <c r="H631" s="249">
        <f>+G631*F631</f>
        <v>202605.56</v>
      </c>
      <c r="I631" s="253"/>
      <c r="J631" s="79"/>
      <c r="K631" s="344"/>
      <c r="L631" s="343"/>
      <c r="M631" s="83"/>
      <c r="N631" s="91">
        <f>H631</f>
        <v>202605.56</v>
      </c>
      <c r="O631" s="83"/>
      <c r="P631" s="31"/>
      <c r="Q631" s="344"/>
      <c r="R631" s="275"/>
    </row>
    <row r="632" spans="1:18" s="89" customFormat="1" x14ac:dyDescent="0.2">
      <c r="A632" s="275"/>
      <c r="B632" s="343"/>
      <c r="C632" s="63"/>
      <c r="D632" s="75" t="s">
        <v>158</v>
      </c>
      <c r="E632" s="247">
        <v>66</v>
      </c>
      <c r="F632" s="244">
        <f>E629/150*1.5</f>
        <v>506.51389999999998</v>
      </c>
      <c r="G632" s="62">
        <f>+F636</f>
        <v>4.25</v>
      </c>
      <c r="H632" s="249">
        <f>+G632*F632*E632</f>
        <v>142077.14895</v>
      </c>
      <c r="I632" s="253"/>
      <c r="J632" s="79"/>
      <c r="K632" s="344"/>
      <c r="L632" s="343"/>
      <c r="M632" s="83"/>
      <c r="N632" s="91">
        <f>H632</f>
        <v>142077.14895</v>
      </c>
      <c r="O632" s="83"/>
      <c r="P632" s="31"/>
      <c r="Q632" s="344"/>
      <c r="R632" s="275"/>
    </row>
    <row r="633" spans="1:18" s="89" customFormat="1" x14ac:dyDescent="0.2">
      <c r="A633" s="275"/>
      <c r="B633" s="343"/>
      <c r="C633" s="63"/>
      <c r="D633" s="75" t="s">
        <v>14</v>
      </c>
      <c r="E633" s="339" t="s">
        <v>119</v>
      </c>
      <c r="F633" s="244">
        <v>0</v>
      </c>
      <c r="G633" s="28">
        <f>$H$3</f>
        <v>80</v>
      </c>
      <c r="H633" s="249">
        <f>+G633*F633</f>
        <v>0</v>
      </c>
      <c r="I633" s="253"/>
      <c r="J633" s="79"/>
      <c r="K633" s="344"/>
      <c r="L633" s="343"/>
      <c r="M633" s="83"/>
      <c r="N633" s="91">
        <f>H633</f>
        <v>0</v>
      </c>
      <c r="O633" s="83"/>
      <c r="P633" s="31"/>
      <c r="Q633" s="344"/>
      <c r="R633" s="275"/>
    </row>
    <row r="634" spans="1:18" s="89" customFormat="1" x14ac:dyDescent="0.2">
      <c r="A634" s="275"/>
      <c r="B634" s="343"/>
      <c r="C634" s="63"/>
      <c r="D634" s="469" t="s">
        <v>16</v>
      </c>
      <c r="E634" s="484" t="s">
        <v>119</v>
      </c>
      <c r="F634" s="474">
        <v>0</v>
      </c>
      <c r="G634" s="249">
        <f>$H$4</f>
        <v>40</v>
      </c>
      <c r="H634" s="249">
        <f>+G634*F634</f>
        <v>0</v>
      </c>
      <c r="I634" s="253"/>
      <c r="J634" s="79"/>
      <c r="K634" s="344"/>
      <c r="L634" s="343"/>
      <c r="M634" s="83"/>
      <c r="N634" s="91">
        <f>H634</f>
        <v>0</v>
      </c>
      <c r="O634" s="83"/>
      <c r="P634" s="31"/>
      <c r="Q634" s="344"/>
      <c r="R634" s="275"/>
    </row>
    <row r="635" spans="1:18" s="89" customFormat="1" x14ac:dyDescent="0.2">
      <c r="A635" s="275"/>
      <c r="B635" s="343"/>
      <c r="C635" s="63"/>
      <c r="D635" s="469" t="s">
        <v>13</v>
      </c>
      <c r="E635" s="485" t="s">
        <v>161</v>
      </c>
      <c r="F635" s="474">
        <f>E629</f>
        <v>50651.39</v>
      </c>
      <c r="G635" s="249">
        <v>0</v>
      </c>
      <c r="H635" s="249">
        <f>+G635*F635</f>
        <v>0</v>
      </c>
      <c r="I635" s="253"/>
      <c r="J635" s="79"/>
      <c r="K635" s="344"/>
      <c r="L635" s="343"/>
      <c r="M635" s="83"/>
      <c r="N635" s="91"/>
      <c r="O635" s="83">
        <f>SUM(H635)</f>
        <v>0</v>
      </c>
      <c r="P635" s="31"/>
      <c r="Q635" s="344"/>
      <c r="R635" s="275"/>
    </row>
    <row r="636" spans="1:18" s="89" customFormat="1" x14ac:dyDescent="0.2">
      <c r="A636" s="275"/>
      <c r="B636" s="343"/>
      <c r="C636" s="63"/>
      <c r="D636" s="469" t="s">
        <v>157</v>
      </c>
      <c r="E636" s="484" t="s">
        <v>117</v>
      </c>
      <c r="F636" s="486">
        <f>+G630+G631+G635</f>
        <v>4.25</v>
      </c>
      <c r="G636" s="248" t="s">
        <v>143</v>
      </c>
      <c r="H636" s="249">
        <f>SUM(H630:H635)</f>
        <v>357345.55645000003</v>
      </c>
      <c r="I636" s="245"/>
      <c r="J636" s="79"/>
      <c r="K636" s="344"/>
      <c r="L636" s="343"/>
      <c r="M636" s="239"/>
      <c r="N636" s="240"/>
      <c r="O636" s="91"/>
      <c r="P636" s="31"/>
      <c r="Q636" s="344"/>
      <c r="R636" s="275"/>
    </row>
    <row r="637" spans="1:18" s="89" customFormat="1" x14ac:dyDescent="0.2">
      <c r="A637" s="275"/>
      <c r="B637" s="343"/>
      <c r="C637" s="63"/>
      <c r="D637" s="487" t="s">
        <v>142</v>
      </c>
      <c r="E637" s="484" t="s">
        <v>117</v>
      </c>
      <c r="F637" s="474">
        <f>+E629+F632*E632</f>
        <v>84081.307399999991</v>
      </c>
      <c r="G637" s="478"/>
      <c r="H637" s="249">
        <f>+((F637/2)*F636)/6</f>
        <v>29778.79637083333</v>
      </c>
      <c r="I637" s="250"/>
      <c r="J637" s="236"/>
      <c r="K637" s="344"/>
      <c r="L637" s="343"/>
      <c r="M637" s="83"/>
      <c r="N637" s="92"/>
      <c r="O637" s="93">
        <f>H637</f>
        <v>29778.79637083333</v>
      </c>
      <c r="P637" s="88"/>
      <c r="Q637" s="344"/>
      <c r="R637" s="275"/>
    </row>
    <row r="638" spans="1:18" s="89" customFormat="1" x14ac:dyDescent="0.2">
      <c r="A638" s="275"/>
      <c r="B638" s="343"/>
      <c r="C638" s="63"/>
      <c r="D638" s="487" t="s">
        <v>191</v>
      </c>
      <c r="E638" s="474"/>
      <c r="F638" s="474">
        <f>+E629+F632*E632</f>
        <v>84081.307399999991</v>
      </c>
      <c r="G638" s="479"/>
      <c r="H638" s="249">
        <f>+(F638/30)*((F636*30)/20)</f>
        <v>17867.2778225</v>
      </c>
      <c r="I638" s="251">
        <v>0</v>
      </c>
      <c r="J638" s="93">
        <f>+(H636+H637+H638)*C629</f>
        <v>404991.63064333337</v>
      </c>
      <c r="K638" s="344"/>
      <c r="L638" s="343"/>
      <c r="M638" s="83"/>
      <c r="N638" s="92"/>
      <c r="O638" s="93">
        <f>H638</f>
        <v>17867.2778225</v>
      </c>
      <c r="P638" s="88"/>
      <c r="Q638" s="344"/>
      <c r="R638" s="275"/>
    </row>
    <row r="639" spans="1:18" s="89" customFormat="1" x14ac:dyDescent="0.2">
      <c r="A639" s="275"/>
      <c r="B639" s="343"/>
      <c r="C639" s="63"/>
      <c r="D639" s="488"/>
      <c r="E639" s="466"/>
      <c r="F639" s="486"/>
      <c r="G639" s="483"/>
      <c r="H639" s="453"/>
      <c r="I639" s="253"/>
      <c r="J639" s="79"/>
      <c r="K639" s="344"/>
      <c r="L639" s="343"/>
      <c r="M639" s="87"/>
      <c r="N639" s="79"/>
      <c r="O639" s="79"/>
      <c r="P639" s="88"/>
      <c r="Q639" s="344"/>
      <c r="R639" s="275"/>
    </row>
    <row r="640" spans="1:18" s="89" customFormat="1" ht="15" customHeight="1" x14ac:dyDescent="0.2">
      <c r="A640" s="275"/>
      <c r="B640" s="360"/>
      <c r="C640" s="13">
        <v>2</v>
      </c>
      <c r="D640" s="264" t="s">
        <v>180</v>
      </c>
      <c r="E640" s="18">
        <v>31896.05</v>
      </c>
      <c r="F640" s="486"/>
      <c r="G640" s="480"/>
      <c r="H640" s="481"/>
      <c r="I640" s="254"/>
      <c r="J640" s="146"/>
      <c r="K640" s="361"/>
      <c r="L640" s="360"/>
      <c r="M640" s="87"/>
      <c r="N640" s="79"/>
      <c r="O640" s="79"/>
      <c r="P640" s="88"/>
      <c r="Q640" s="361"/>
      <c r="R640" s="275"/>
    </row>
    <row r="641" spans="1:18" s="89" customFormat="1" x14ac:dyDescent="0.2">
      <c r="A641" s="275"/>
      <c r="B641" s="343"/>
      <c r="C641" s="63"/>
      <c r="D641" s="469" t="s">
        <v>84</v>
      </c>
      <c r="E641" s="490" t="s">
        <v>160</v>
      </c>
      <c r="F641" s="474">
        <f>E640</f>
        <v>31896.05</v>
      </c>
      <c r="G641" s="482">
        <v>0</v>
      </c>
      <c r="H641" s="249">
        <f>+G641*F641</f>
        <v>0</v>
      </c>
      <c r="I641" s="253"/>
      <c r="J641" s="79"/>
      <c r="K641" s="344"/>
      <c r="L641" s="343"/>
      <c r="M641" s="83">
        <f>H641</f>
        <v>0</v>
      </c>
      <c r="N641" s="91"/>
      <c r="O641" s="83"/>
      <c r="P641" s="31"/>
      <c r="Q641" s="344"/>
      <c r="R641" s="275"/>
    </row>
    <row r="642" spans="1:18" s="89" customFormat="1" x14ac:dyDescent="0.2">
      <c r="A642" s="275"/>
      <c r="B642" s="343"/>
      <c r="C642" s="63"/>
      <c r="D642" s="469" t="s">
        <v>77</v>
      </c>
      <c r="E642" s="485" t="s">
        <v>160</v>
      </c>
      <c r="F642" s="474">
        <f>E640</f>
        <v>31896.05</v>
      </c>
      <c r="G642" s="482">
        <v>4</v>
      </c>
      <c r="H642" s="249">
        <f>+G642*F642</f>
        <v>127584.2</v>
      </c>
      <c r="I642" s="253"/>
      <c r="J642" s="79"/>
      <c r="K642" s="344"/>
      <c r="L642" s="343"/>
      <c r="M642" s="83"/>
      <c r="N642" s="91">
        <f>H642</f>
        <v>127584.2</v>
      </c>
      <c r="O642" s="83"/>
      <c r="P642" s="31"/>
      <c r="Q642" s="344"/>
      <c r="R642" s="275"/>
    </row>
    <row r="643" spans="1:18" s="89" customFormat="1" x14ac:dyDescent="0.2">
      <c r="A643" s="275"/>
      <c r="B643" s="343"/>
      <c r="C643" s="63"/>
      <c r="D643" s="469" t="s">
        <v>158</v>
      </c>
      <c r="E643" s="247">
        <v>66</v>
      </c>
      <c r="F643" s="474">
        <f>E640/150*1.5</f>
        <v>318.96050000000002</v>
      </c>
      <c r="G643" s="482">
        <f>+F647</f>
        <v>4</v>
      </c>
      <c r="H643" s="249">
        <f>+G643*F643*E643</f>
        <v>84205.572</v>
      </c>
      <c r="I643" s="253"/>
      <c r="J643" s="79"/>
      <c r="K643" s="344"/>
      <c r="L643" s="343"/>
      <c r="M643" s="83"/>
      <c r="N643" s="91">
        <f>H643</f>
        <v>84205.572</v>
      </c>
      <c r="O643" s="83"/>
      <c r="P643" s="31"/>
      <c r="Q643" s="344"/>
      <c r="R643" s="275"/>
    </row>
    <row r="644" spans="1:18" s="89" customFormat="1" x14ac:dyDescent="0.2">
      <c r="A644" s="275"/>
      <c r="B644" s="343"/>
      <c r="C644" s="63"/>
      <c r="D644" s="469" t="s">
        <v>14</v>
      </c>
      <c r="E644" s="484" t="s">
        <v>119</v>
      </c>
      <c r="F644" s="474">
        <v>0</v>
      </c>
      <c r="G644" s="249">
        <f>$H$3</f>
        <v>80</v>
      </c>
      <c r="H644" s="249">
        <f>+G644*F644</f>
        <v>0</v>
      </c>
      <c r="I644" s="253"/>
      <c r="J644" s="79"/>
      <c r="K644" s="344"/>
      <c r="L644" s="343"/>
      <c r="M644" s="83"/>
      <c r="N644" s="91">
        <f>H644</f>
        <v>0</v>
      </c>
      <c r="O644" s="83"/>
      <c r="P644" s="31"/>
      <c r="Q644" s="344"/>
      <c r="R644" s="275"/>
    </row>
    <row r="645" spans="1:18" s="89" customFormat="1" x14ac:dyDescent="0.2">
      <c r="A645" s="275"/>
      <c r="B645" s="343"/>
      <c r="C645" s="63"/>
      <c r="D645" s="469" t="s">
        <v>16</v>
      </c>
      <c r="E645" s="484" t="s">
        <v>119</v>
      </c>
      <c r="F645" s="474">
        <v>0</v>
      </c>
      <c r="G645" s="249">
        <f>$H$4</f>
        <v>40</v>
      </c>
      <c r="H645" s="249">
        <f>+G645*F645</f>
        <v>0</v>
      </c>
      <c r="I645" s="253"/>
      <c r="J645" s="79"/>
      <c r="K645" s="344"/>
      <c r="L645" s="343"/>
      <c r="M645" s="83"/>
      <c r="N645" s="91">
        <f>H645</f>
        <v>0</v>
      </c>
      <c r="O645" s="83"/>
      <c r="P645" s="31"/>
      <c r="Q645" s="344"/>
      <c r="R645" s="275"/>
    </row>
    <row r="646" spans="1:18" s="89" customFormat="1" x14ac:dyDescent="0.2">
      <c r="A646" s="275"/>
      <c r="B646" s="343"/>
      <c r="C646" s="63"/>
      <c r="D646" s="469" t="s">
        <v>13</v>
      </c>
      <c r="E646" s="485" t="s">
        <v>161</v>
      </c>
      <c r="F646" s="474">
        <f>E640</f>
        <v>31896.05</v>
      </c>
      <c r="G646" s="249">
        <v>0</v>
      </c>
      <c r="H646" s="249">
        <f>+G646*F646</f>
        <v>0</v>
      </c>
      <c r="I646" s="253"/>
      <c r="J646" s="79"/>
      <c r="K646" s="344"/>
      <c r="L646" s="343"/>
      <c r="M646" s="83"/>
      <c r="N646" s="91"/>
      <c r="O646" s="83">
        <f>SUM(H646)</f>
        <v>0</v>
      </c>
      <c r="P646" s="31"/>
      <c r="Q646" s="344"/>
      <c r="R646" s="275"/>
    </row>
    <row r="647" spans="1:18" s="89" customFormat="1" x14ac:dyDescent="0.2">
      <c r="A647" s="275"/>
      <c r="B647" s="343"/>
      <c r="C647" s="63"/>
      <c r="D647" s="469" t="s">
        <v>157</v>
      </c>
      <c r="E647" s="484" t="s">
        <v>117</v>
      </c>
      <c r="F647" s="486">
        <f>+G641+G642+G646</f>
        <v>4</v>
      </c>
      <c r="G647" s="248" t="s">
        <v>143</v>
      </c>
      <c r="H647" s="249">
        <f>SUM(H641:H646)</f>
        <v>211789.772</v>
      </c>
      <c r="I647" s="245"/>
      <c r="J647" s="79"/>
      <c r="K647" s="344"/>
      <c r="L647" s="343"/>
      <c r="M647" s="239"/>
      <c r="N647" s="240"/>
      <c r="O647" s="91"/>
      <c r="P647" s="31"/>
      <c r="Q647" s="344"/>
      <c r="R647" s="275"/>
    </row>
    <row r="648" spans="1:18" s="89" customFormat="1" x14ac:dyDescent="0.2">
      <c r="A648" s="275"/>
      <c r="B648" s="343"/>
      <c r="C648" s="63"/>
      <c r="D648" s="487" t="s">
        <v>142</v>
      </c>
      <c r="E648" s="484" t="s">
        <v>117</v>
      </c>
      <c r="F648" s="474">
        <f>+E640+F643*E643</f>
        <v>52947.442999999999</v>
      </c>
      <c r="G648" s="478"/>
      <c r="H648" s="249">
        <f>+((F648/2)*F647)/6</f>
        <v>17649.147666666668</v>
      </c>
      <c r="I648" s="250"/>
      <c r="J648" s="236"/>
      <c r="K648" s="344"/>
      <c r="L648" s="343"/>
      <c r="M648" s="83"/>
      <c r="N648" s="92"/>
      <c r="O648" s="93">
        <f>H648</f>
        <v>17649.147666666668</v>
      </c>
      <c r="P648" s="88"/>
      <c r="Q648" s="344"/>
      <c r="R648" s="275"/>
    </row>
    <row r="649" spans="1:18" s="89" customFormat="1" x14ac:dyDescent="0.2">
      <c r="A649" s="275"/>
      <c r="B649" s="343"/>
      <c r="C649" s="63"/>
      <c r="D649" s="487" t="s">
        <v>191</v>
      </c>
      <c r="E649" s="474"/>
      <c r="F649" s="474">
        <f>+E640+F643*E643</f>
        <v>52947.442999999999</v>
      </c>
      <c r="G649" s="491"/>
      <c r="H649" s="249">
        <f>+(F649/30)*((F647*30)/20)</f>
        <v>10589.488599999999</v>
      </c>
      <c r="I649" s="251">
        <v>0</v>
      </c>
      <c r="J649" s="93">
        <f>+(H647+H648+H649)*C640</f>
        <v>480056.81653333333</v>
      </c>
      <c r="K649" s="344"/>
      <c r="L649" s="343"/>
      <c r="M649" s="83"/>
      <c r="N649" s="92"/>
      <c r="O649" s="93">
        <f>H649</f>
        <v>10589.488599999999</v>
      </c>
      <c r="P649" s="88"/>
      <c r="Q649" s="344"/>
      <c r="R649" s="275"/>
    </row>
    <row r="650" spans="1:18" s="89" customFormat="1" x14ac:dyDescent="0.2">
      <c r="A650" s="275"/>
      <c r="B650" s="343"/>
      <c r="C650" s="63"/>
      <c r="D650" s="488"/>
      <c r="E650" s="466"/>
      <c r="F650" s="486"/>
      <c r="G650" s="483"/>
      <c r="H650" s="453"/>
      <c r="I650" s="253"/>
      <c r="J650" s="79"/>
      <c r="K650" s="344"/>
      <c r="L650" s="343"/>
      <c r="M650" s="87"/>
      <c r="N650" s="79"/>
      <c r="O650" s="79"/>
      <c r="P650" s="88"/>
      <c r="Q650" s="344"/>
      <c r="R650" s="275"/>
    </row>
    <row r="651" spans="1:18" s="89" customFormat="1" ht="24" customHeight="1" x14ac:dyDescent="0.2">
      <c r="A651" s="275"/>
      <c r="B651" s="409"/>
      <c r="C651" s="176">
        <f>SUM(A376:C645)</f>
        <v>32</v>
      </c>
      <c r="D651" s="488"/>
      <c r="E651" s="466"/>
      <c r="F651" s="486"/>
      <c r="G651" s="483"/>
      <c r="H651" s="453"/>
      <c r="I651" s="253"/>
      <c r="J651" s="79"/>
      <c r="K651" s="410"/>
      <c r="L651" s="409"/>
      <c r="M651" s="87"/>
      <c r="N651" s="79"/>
      <c r="O651" s="79"/>
      <c r="P651" s="88"/>
      <c r="Q651" s="410"/>
      <c r="R651" s="275"/>
    </row>
    <row r="652" spans="1:18" s="89" customFormat="1" x14ac:dyDescent="0.2">
      <c r="A652" s="275"/>
      <c r="B652" s="409"/>
      <c r="C652" s="63"/>
      <c r="D652" s="94"/>
      <c r="E652" s="7"/>
      <c r="F652" s="241"/>
      <c r="G652" s="252"/>
      <c r="H652" s="32"/>
      <c r="I652" s="253"/>
      <c r="J652" s="79"/>
      <c r="K652" s="410"/>
      <c r="L652" s="409"/>
      <c r="M652" s="87"/>
      <c r="N652" s="79"/>
      <c r="O652" s="79"/>
      <c r="P652" s="88"/>
      <c r="Q652" s="410"/>
      <c r="R652" s="275"/>
    </row>
    <row r="653" spans="1:18" s="89" customFormat="1" ht="15" customHeight="1" x14ac:dyDescent="0.2">
      <c r="A653" s="275"/>
      <c r="B653" s="405"/>
      <c r="C653" s="13"/>
      <c r="D653" s="408" t="s">
        <v>260</v>
      </c>
      <c r="E653" s="95"/>
      <c r="F653" s="84"/>
      <c r="G653" s="85"/>
      <c r="H653" s="406"/>
      <c r="I653" s="53"/>
      <c r="J653" s="53"/>
      <c r="K653" s="407"/>
      <c r="L653" s="405"/>
      <c r="M653" s="87"/>
      <c r="N653" s="79"/>
      <c r="O653" s="79"/>
      <c r="P653" s="88"/>
      <c r="Q653" s="407"/>
      <c r="R653" s="275"/>
    </row>
    <row r="654" spans="1:18" s="89" customFormat="1" ht="15" customHeight="1" x14ac:dyDescent="0.2">
      <c r="A654" s="275"/>
      <c r="B654" s="360"/>
      <c r="C654" s="13">
        <v>2</v>
      </c>
      <c r="D654" s="260" t="s">
        <v>272</v>
      </c>
      <c r="E654" s="18">
        <v>43881.8</v>
      </c>
      <c r="F654" s="241"/>
      <c r="G654" s="34"/>
      <c r="H654" s="242"/>
      <c r="I654" s="254"/>
      <c r="J654" s="146"/>
      <c r="K654" s="361"/>
      <c r="L654" s="360"/>
      <c r="M654" s="87"/>
      <c r="N654" s="79"/>
      <c r="O654" s="79"/>
      <c r="P654" s="88"/>
      <c r="Q654" s="361"/>
      <c r="R654" s="275"/>
    </row>
    <row r="655" spans="1:18" s="89" customFormat="1" x14ac:dyDescent="0.2">
      <c r="A655" s="275"/>
      <c r="B655" s="343"/>
      <c r="C655" s="63"/>
      <c r="D655" s="75" t="s">
        <v>84</v>
      </c>
      <c r="E655" s="336" t="s">
        <v>160</v>
      </c>
      <c r="F655" s="244">
        <f>E654</f>
        <v>43881.8</v>
      </c>
      <c r="G655" s="62">
        <v>0</v>
      </c>
      <c r="H655" s="249">
        <f>+G655*F655</f>
        <v>0</v>
      </c>
      <c r="I655" s="253"/>
      <c r="J655" s="79"/>
      <c r="K655" s="344"/>
      <c r="L655" s="343"/>
      <c r="M655" s="83">
        <f>H655</f>
        <v>0</v>
      </c>
      <c r="N655" s="91"/>
      <c r="O655" s="83"/>
      <c r="P655" s="31"/>
      <c r="Q655" s="344"/>
      <c r="R655" s="275"/>
    </row>
    <row r="656" spans="1:18" s="89" customFormat="1" x14ac:dyDescent="0.2">
      <c r="A656" s="275"/>
      <c r="B656" s="343"/>
      <c r="C656" s="63"/>
      <c r="D656" s="75" t="s">
        <v>77</v>
      </c>
      <c r="E656" s="337" t="s">
        <v>160</v>
      </c>
      <c r="F656" s="244">
        <f>E654</f>
        <v>43881.8</v>
      </c>
      <c r="G656" s="62">
        <v>4</v>
      </c>
      <c r="H656" s="249">
        <f>+G656*F656</f>
        <v>175527.2</v>
      </c>
      <c r="I656" s="253"/>
      <c r="J656" s="79"/>
      <c r="K656" s="344"/>
      <c r="L656" s="343"/>
      <c r="M656" s="83"/>
      <c r="N656" s="91">
        <f>H656</f>
        <v>175527.2</v>
      </c>
      <c r="O656" s="83"/>
      <c r="P656" s="31"/>
      <c r="Q656" s="344"/>
      <c r="R656" s="275"/>
    </row>
    <row r="657" spans="1:18" s="89" customFormat="1" x14ac:dyDescent="0.2">
      <c r="A657" s="275"/>
      <c r="B657" s="343"/>
      <c r="C657" s="63"/>
      <c r="D657" s="75" t="s">
        <v>158</v>
      </c>
      <c r="E657" s="247">
        <v>66</v>
      </c>
      <c r="F657" s="244">
        <f>E654/150*1.5</f>
        <v>438.81800000000004</v>
      </c>
      <c r="G657" s="62">
        <f>+F661</f>
        <v>5</v>
      </c>
      <c r="H657" s="249">
        <f>+G657*F657*E657</f>
        <v>144809.94</v>
      </c>
      <c r="I657" s="253"/>
      <c r="J657" s="79"/>
      <c r="K657" s="344"/>
      <c r="L657" s="343"/>
      <c r="M657" s="83"/>
      <c r="N657" s="91">
        <f>H657</f>
        <v>144809.94</v>
      </c>
      <c r="O657" s="83"/>
      <c r="P657" s="31"/>
      <c r="Q657" s="344"/>
      <c r="R657" s="275"/>
    </row>
    <row r="658" spans="1:18" s="89" customFormat="1" x14ac:dyDescent="0.2">
      <c r="A658" s="275"/>
      <c r="B658" s="343"/>
      <c r="C658" s="63"/>
      <c r="D658" s="75" t="s">
        <v>14</v>
      </c>
      <c r="E658" s="339" t="s">
        <v>119</v>
      </c>
      <c r="F658" s="244">
        <v>0</v>
      </c>
      <c r="G658" s="28">
        <f>$H$3</f>
        <v>80</v>
      </c>
      <c r="H658" s="249">
        <f>+G658*F658</f>
        <v>0</v>
      </c>
      <c r="I658" s="253"/>
      <c r="J658" s="79"/>
      <c r="K658" s="344"/>
      <c r="L658" s="343"/>
      <c r="M658" s="83"/>
      <c r="N658" s="91">
        <f>H658</f>
        <v>0</v>
      </c>
      <c r="O658" s="83"/>
      <c r="P658" s="31"/>
      <c r="Q658" s="344"/>
      <c r="R658" s="275"/>
    </row>
    <row r="659" spans="1:18" s="89" customFormat="1" x14ac:dyDescent="0.2">
      <c r="A659" s="275"/>
      <c r="B659" s="343"/>
      <c r="C659" s="63"/>
      <c r="D659" s="75" t="s">
        <v>16</v>
      </c>
      <c r="E659" s="339" t="s">
        <v>119</v>
      </c>
      <c r="F659" s="244">
        <v>0</v>
      </c>
      <c r="G659" s="249">
        <f>$H$4</f>
        <v>40</v>
      </c>
      <c r="H659" s="249">
        <f>+G659*F659</f>
        <v>0</v>
      </c>
      <c r="I659" s="253"/>
      <c r="J659" s="79"/>
      <c r="K659" s="344"/>
      <c r="L659" s="343"/>
      <c r="M659" s="83"/>
      <c r="N659" s="91">
        <f>H659</f>
        <v>0</v>
      </c>
      <c r="O659" s="83"/>
      <c r="P659" s="31"/>
      <c r="Q659" s="344"/>
      <c r="R659" s="275"/>
    </row>
    <row r="660" spans="1:18" s="89" customFormat="1" x14ac:dyDescent="0.2">
      <c r="A660" s="275"/>
      <c r="B660" s="343"/>
      <c r="C660" s="63"/>
      <c r="D660" s="75" t="s">
        <v>13</v>
      </c>
      <c r="E660" s="337" t="s">
        <v>161</v>
      </c>
      <c r="F660" s="244">
        <f>E654</f>
        <v>43881.8</v>
      </c>
      <c r="G660" s="482">
        <v>1</v>
      </c>
      <c r="H660" s="249">
        <f>+G660*F660</f>
        <v>43881.8</v>
      </c>
      <c r="I660" s="253"/>
      <c r="J660" s="79"/>
      <c r="K660" s="344"/>
      <c r="L660" s="343"/>
      <c r="M660" s="83"/>
      <c r="N660" s="91"/>
      <c r="O660" s="83">
        <f>SUM(H660)</f>
        <v>43881.8</v>
      </c>
      <c r="P660" s="31"/>
      <c r="Q660" s="344"/>
      <c r="R660" s="275"/>
    </row>
    <row r="661" spans="1:18" s="89" customFormat="1" x14ac:dyDescent="0.2">
      <c r="A661" s="275"/>
      <c r="B661" s="343"/>
      <c r="C661" s="63"/>
      <c r="D661" s="75" t="s">
        <v>157</v>
      </c>
      <c r="E661" s="339" t="s">
        <v>117</v>
      </c>
      <c r="F661" s="241">
        <f>+G655+G656+G660</f>
        <v>5</v>
      </c>
      <c r="G661" s="248" t="s">
        <v>143</v>
      </c>
      <c r="H661" s="249">
        <f>SUM(H655:H660)</f>
        <v>364218.94</v>
      </c>
      <c r="I661" s="245"/>
      <c r="J661" s="79"/>
      <c r="K661" s="344"/>
      <c r="L661" s="343"/>
      <c r="M661" s="239"/>
      <c r="N661" s="240"/>
      <c r="O661" s="91"/>
      <c r="P661" s="31"/>
      <c r="Q661" s="344"/>
      <c r="R661" s="275"/>
    </row>
    <row r="662" spans="1:18" s="89" customFormat="1" x14ac:dyDescent="0.2">
      <c r="A662" s="275"/>
      <c r="B662" s="343"/>
      <c r="C662" s="63"/>
      <c r="D662" s="116" t="s">
        <v>142</v>
      </c>
      <c r="E662" s="339" t="s">
        <v>117</v>
      </c>
      <c r="F662" s="244">
        <f>+E654+F657*E657</f>
        <v>72843.788</v>
      </c>
      <c r="G662" s="478"/>
      <c r="H662" s="249">
        <f>+((F662/2)*F661)/6</f>
        <v>30351.578333333335</v>
      </c>
      <c r="I662" s="250"/>
      <c r="J662" s="236"/>
      <c r="K662" s="344"/>
      <c r="L662" s="343"/>
      <c r="M662" s="83"/>
      <c r="N662" s="92"/>
      <c r="O662" s="93">
        <f>H662</f>
        <v>30351.578333333335</v>
      </c>
      <c r="P662" s="88"/>
      <c r="Q662" s="344"/>
      <c r="R662" s="275"/>
    </row>
    <row r="663" spans="1:18" s="89" customFormat="1" x14ac:dyDescent="0.2">
      <c r="A663" s="275"/>
      <c r="B663" s="343"/>
      <c r="C663" s="63"/>
      <c r="D663" s="116" t="s">
        <v>191</v>
      </c>
      <c r="E663" s="244"/>
      <c r="F663" s="244">
        <f>+E654+F657*E657</f>
        <v>72843.788</v>
      </c>
      <c r="G663" s="479"/>
      <c r="H663" s="249">
        <f>+(F663/30)*((F661*30)/20)</f>
        <v>18210.947</v>
      </c>
      <c r="I663" s="251">
        <v>0</v>
      </c>
      <c r="J663" s="93">
        <f>+(H661+H662+H663)*C654</f>
        <v>825562.93066666659</v>
      </c>
      <c r="K663" s="344"/>
      <c r="L663" s="343"/>
      <c r="M663" s="83"/>
      <c r="N663" s="92"/>
      <c r="O663" s="93">
        <f>H663</f>
        <v>18210.947</v>
      </c>
      <c r="P663" s="88"/>
      <c r="Q663" s="344"/>
      <c r="R663" s="275"/>
    </row>
    <row r="664" spans="1:18" s="89" customFormat="1" x14ac:dyDescent="0.2">
      <c r="A664" s="275"/>
      <c r="B664" s="343"/>
      <c r="C664" s="63"/>
      <c r="D664" s="94"/>
      <c r="E664" s="7"/>
      <c r="F664" s="241"/>
      <c r="G664" s="483"/>
      <c r="H664" s="453"/>
      <c r="I664" s="253"/>
      <c r="J664" s="79"/>
      <c r="K664" s="344"/>
      <c r="L664" s="343"/>
      <c r="M664" s="87"/>
      <c r="N664" s="79"/>
      <c r="O664" s="79"/>
      <c r="P664" s="88"/>
      <c r="Q664" s="344"/>
      <c r="R664" s="275"/>
    </row>
    <row r="665" spans="1:18" s="89" customFormat="1" ht="15" customHeight="1" x14ac:dyDescent="0.2">
      <c r="A665" s="416"/>
      <c r="B665" s="405"/>
      <c r="C665" s="13">
        <v>1</v>
      </c>
      <c r="D665" s="264" t="s">
        <v>274</v>
      </c>
      <c r="E665" s="18">
        <v>43881.8</v>
      </c>
      <c r="F665" s="241"/>
      <c r="G665" s="34"/>
      <c r="H665" s="242"/>
      <c r="I665" s="254"/>
      <c r="J665" s="146"/>
      <c r="K665" s="407"/>
      <c r="L665" s="405"/>
      <c r="M665" s="87"/>
      <c r="N665" s="79"/>
      <c r="O665" s="79"/>
      <c r="P665" s="88"/>
      <c r="Q665" s="407"/>
      <c r="R665" s="416"/>
    </row>
    <row r="666" spans="1:18" s="89" customFormat="1" x14ac:dyDescent="0.2">
      <c r="A666" s="416"/>
      <c r="B666" s="409"/>
      <c r="C666" s="63"/>
      <c r="D666" s="75" t="s">
        <v>84</v>
      </c>
      <c r="E666" s="336" t="s">
        <v>160</v>
      </c>
      <c r="F666" s="244">
        <f>E665</f>
        <v>43881.8</v>
      </c>
      <c r="G666" s="62">
        <v>0</v>
      </c>
      <c r="H666" s="249">
        <f>+G666*F666</f>
        <v>0</v>
      </c>
      <c r="I666" s="253"/>
      <c r="J666" s="79"/>
      <c r="K666" s="410"/>
      <c r="L666" s="409"/>
      <c r="M666" s="83">
        <f>H666</f>
        <v>0</v>
      </c>
      <c r="N666" s="91"/>
      <c r="O666" s="83"/>
      <c r="P666" s="31"/>
      <c r="Q666" s="410"/>
      <c r="R666" s="416"/>
    </row>
    <row r="667" spans="1:18" s="89" customFormat="1" x14ac:dyDescent="0.2">
      <c r="A667" s="416"/>
      <c r="B667" s="409"/>
      <c r="C667" s="63"/>
      <c r="D667" s="75" t="s">
        <v>77</v>
      </c>
      <c r="E667" s="337" t="s">
        <v>160</v>
      </c>
      <c r="F667" s="244">
        <f>E665</f>
        <v>43881.8</v>
      </c>
      <c r="G667" s="62">
        <v>4</v>
      </c>
      <c r="H667" s="249">
        <f>+G667*F667</f>
        <v>175527.2</v>
      </c>
      <c r="I667" s="253"/>
      <c r="J667" s="79"/>
      <c r="K667" s="410"/>
      <c r="L667" s="409"/>
      <c r="M667" s="83"/>
      <c r="N667" s="91">
        <f>H667</f>
        <v>175527.2</v>
      </c>
      <c r="O667" s="83"/>
      <c r="P667" s="31"/>
      <c r="Q667" s="410"/>
      <c r="R667" s="416"/>
    </row>
    <row r="668" spans="1:18" s="89" customFormat="1" x14ac:dyDescent="0.2">
      <c r="A668" s="416"/>
      <c r="B668" s="409"/>
      <c r="C668" s="63"/>
      <c r="D668" s="75" t="s">
        <v>158</v>
      </c>
      <c r="E668" s="247">
        <v>66</v>
      </c>
      <c r="F668" s="244">
        <f>E665/150*1.5</f>
        <v>438.81800000000004</v>
      </c>
      <c r="G668" s="62">
        <f>+F672</f>
        <v>4</v>
      </c>
      <c r="H668" s="249">
        <f>+G668*F668*E668</f>
        <v>115847.952</v>
      </c>
      <c r="I668" s="253"/>
      <c r="J668" s="79"/>
      <c r="K668" s="410"/>
      <c r="L668" s="409"/>
      <c r="M668" s="83"/>
      <c r="N668" s="91">
        <f>H668</f>
        <v>115847.952</v>
      </c>
      <c r="O668" s="83"/>
      <c r="P668" s="31"/>
      <c r="Q668" s="410"/>
      <c r="R668" s="416"/>
    </row>
    <row r="669" spans="1:18" s="89" customFormat="1" x14ac:dyDescent="0.2">
      <c r="A669" s="416"/>
      <c r="B669" s="409"/>
      <c r="C669" s="63"/>
      <c r="D669" s="75" t="s">
        <v>14</v>
      </c>
      <c r="E669" s="339" t="s">
        <v>119</v>
      </c>
      <c r="F669" s="244">
        <v>0</v>
      </c>
      <c r="G669" s="28">
        <f>$H$3</f>
        <v>80</v>
      </c>
      <c r="H669" s="249">
        <f>+G669*F669</f>
        <v>0</v>
      </c>
      <c r="I669" s="253"/>
      <c r="J669" s="79"/>
      <c r="K669" s="410"/>
      <c r="L669" s="409"/>
      <c r="M669" s="83"/>
      <c r="N669" s="91">
        <f>H669</f>
        <v>0</v>
      </c>
      <c r="O669" s="83"/>
      <c r="P669" s="31"/>
      <c r="Q669" s="410"/>
      <c r="R669" s="416"/>
    </row>
    <row r="670" spans="1:18" s="89" customFormat="1" x14ac:dyDescent="0.2">
      <c r="A670" s="416"/>
      <c r="B670" s="409"/>
      <c r="C670" s="63"/>
      <c r="D670" s="75" t="s">
        <v>16</v>
      </c>
      <c r="E670" s="339" t="s">
        <v>119</v>
      </c>
      <c r="F670" s="244">
        <v>0</v>
      </c>
      <c r="G670" s="28">
        <f>$H$4</f>
        <v>40</v>
      </c>
      <c r="H670" s="249">
        <f>+G670*F670</f>
        <v>0</v>
      </c>
      <c r="I670" s="253"/>
      <c r="J670" s="79"/>
      <c r="K670" s="410"/>
      <c r="L670" s="409"/>
      <c r="M670" s="83"/>
      <c r="N670" s="91">
        <f>H670</f>
        <v>0</v>
      </c>
      <c r="O670" s="83"/>
      <c r="P670" s="31"/>
      <c r="Q670" s="410"/>
      <c r="R670" s="416"/>
    </row>
    <row r="671" spans="1:18" s="89" customFormat="1" x14ac:dyDescent="0.2">
      <c r="A671" s="416"/>
      <c r="B671" s="409"/>
      <c r="C671" s="63"/>
      <c r="D671" s="75" t="s">
        <v>13</v>
      </c>
      <c r="E671" s="337" t="s">
        <v>161</v>
      </c>
      <c r="F671" s="244">
        <f>E665</f>
        <v>43881.8</v>
      </c>
      <c r="G671" s="62">
        <v>0</v>
      </c>
      <c r="H671" s="249">
        <f>+G671*F671</f>
        <v>0</v>
      </c>
      <c r="I671" s="253"/>
      <c r="J671" s="79"/>
      <c r="K671" s="410"/>
      <c r="L671" s="409"/>
      <c r="M671" s="83"/>
      <c r="N671" s="91"/>
      <c r="O671" s="83">
        <f>SUM(H671)</f>
        <v>0</v>
      </c>
      <c r="P671" s="31"/>
      <c r="Q671" s="410"/>
      <c r="R671" s="416"/>
    </row>
    <row r="672" spans="1:18" s="89" customFormat="1" x14ac:dyDescent="0.2">
      <c r="A672" s="416"/>
      <c r="B672" s="409"/>
      <c r="C672" s="63"/>
      <c r="D672" s="75" t="s">
        <v>157</v>
      </c>
      <c r="E672" s="339" t="s">
        <v>117</v>
      </c>
      <c r="F672" s="241">
        <f>+G666+G667+G671</f>
        <v>4</v>
      </c>
      <c r="G672" s="248" t="s">
        <v>143</v>
      </c>
      <c r="H672" s="249">
        <f>SUM(H666:H671)</f>
        <v>291375.152</v>
      </c>
      <c r="I672" s="245"/>
      <c r="J672" s="79"/>
      <c r="K672" s="410"/>
      <c r="L672" s="409"/>
      <c r="M672" s="239"/>
      <c r="N672" s="240"/>
      <c r="O672" s="91"/>
      <c r="P672" s="31"/>
      <c r="Q672" s="410"/>
      <c r="R672" s="416"/>
    </row>
    <row r="673" spans="1:18" s="89" customFormat="1" x14ac:dyDescent="0.2">
      <c r="A673" s="416"/>
      <c r="B673" s="409"/>
      <c r="C673" s="63"/>
      <c r="D673" s="116" t="s">
        <v>142</v>
      </c>
      <c r="E673" s="339" t="s">
        <v>117</v>
      </c>
      <c r="F673" s="244">
        <f>+E665+F668*E668</f>
        <v>72843.788</v>
      </c>
      <c r="G673" s="478"/>
      <c r="H673" s="249">
        <f>+((F673/2)*F672)/6</f>
        <v>24281.262666666666</v>
      </c>
      <c r="I673" s="250"/>
      <c r="J673" s="236"/>
      <c r="K673" s="410"/>
      <c r="L673" s="409"/>
      <c r="M673" s="83"/>
      <c r="N673" s="92"/>
      <c r="O673" s="93">
        <f>H673</f>
        <v>24281.262666666666</v>
      </c>
      <c r="P673" s="88"/>
      <c r="Q673" s="410"/>
      <c r="R673" s="416"/>
    </row>
    <row r="674" spans="1:18" s="89" customFormat="1" x14ac:dyDescent="0.2">
      <c r="A674" s="416"/>
      <c r="B674" s="409"/>
      <c r="C674" s="63"/>
      <c r="D674" s="116" t="s">
        <v>191</v>
      </c>
      <c r="E674" s="244"/>
      <c r="F674" s="244">
        <f>+E665+F668*E668</f>
        <v>72843.788</v>
      </c>
      <c r="G674" s="479"/>
      <c r="H674" s="249">
        <f>+(F674/30)*((F672*30)/20)</f>
        <v>14568.757600000001</v>
      </c>
      <c r="I674" s="251">
        <v>0</v>
      </c>
      <c r="J674" s="93">
        <f>+(H672+H673+H674)*C665</f>
        <v>330225.17226666666</v>
      </c>
      <c r="K674" s="410"/>
      <c r="L674" s="409"/>
      <c r="M674" s="83"/>
      <c r="N674" s="92"/>
      <c r="O674" s="93">
        <f>H674</f>
        <v>14568.757600000001</v>
      </c>
      <c r="P674" s="88"/>
      <c r="Q674" s="410"/>
      <c r="R674" s="416"/>
    </row>
    <row r="675" spans="1:18" s="89" customFormat="1" x14ac:dyDescent="0.2">
      <c r="A675" s="416"/>
      <c r="B675" s="450"/>
      <c r="C675" s="63"/>
      <c r="D675" s="116"/>
      <c r="E675" s="244"/>
      <c r="F675" s="241"/>
      <c r="G675" s="452"/>
      <c r="H675" s="453"/>
      <c r="I675" s="253"/>
      <c r="J675" s="79"/>
      <c r="K675" s="451"/>
      <c r="L675" s="450"/>
      <c r="M675" s="87"/>
      <c r="N675" s="79"/>
      <c r="O675" s="79"/>
      <c r="P675" s="88"/>
      <c r="Q675" s="451"/>
      <c r="R675" s="416"/>
    </row>
    <row r="676" spans="1:18" s="89" customFormat="1" ht="15" customHeight="1" x14ac:dyDescent="0.2">
      <c r="A676" s="275"/>
      <c r="B676" s="360"/>
      <c r="C676" s="13">
        <v>1</v>
      </c>
      <c r="D676" s="264" t="s">
        <v>262</v>
      </c>
      <c r="E676" s="18">
        <v>43881.8</v>
      </c>
      <c r="F676" s="241"/>
      <c r="G676" s="480"/>
      <c r="H676" s="481"/>
      <c r="I676" s="254"/>
      <c r="J676" s="146"/>
      <c r="K676" s="361"/>
      <c r="L676" s="360"/>
      <c r="M676" s="87"/>
      <c r="N676" s="79"/>
      <c r="O676" s="79"/>
      <c r="P676" s="88"/>
      <c r="Q676" s="361"/>
      <c r="R676" s="275"/>
    </row>
    <row r="677" spans="1:18" s="89" customFormat="1" x14ac:dyDescent="0.2">
      <c r="A677" s="275"/>
      <c r="B677" s="343"/>
      <c r="C677" s="63"/>
      <c r="D677" s="75" t="s">
        <v>84</v>
      </c>
      <c r="E677" s="336" t="s">
        <v>160</v>
      </c>
      <c r="F677" s="244">
        <f>E676</f>
        <v>43881.8</v>
      </c>
      <c r="G677" s="482">
        <v>0</v>
      </c>
      <c r="H677" s="249">
        <f>+G677*F677</f>
        <v>0</v>
      </c>
      <c r="I677" s="253"/>
      <c r="J677" s="79"/>
      <c r="K677" s="344"/>
      <c r="L677" s="343"/>
      <c r="M677" s="83">
        <f>H677</f>
        <v>0</v>
      </c>
      <c r="N677" s="91"/>
      <c r="O677" s="83"/>
      <c r="P677" s="31"/>
      <c r="Q677" s="344"/>
      <c r="R677" s="275"/>
    </row>
    <row r="678" spans="1:18" s="89" customFormat="1" x14ac:dyDescent="0.2">
      <c r="A678" s="275"/>
      <c r="B678" s="343"/>
      <c r="C678" s="63"/>
      <c r="D678" s="75" t="s">
        <v>77</v>
      </c>
      <c r="E678" s="337" t="s">
        <v>160</v>
      </c>
      <c r="F678" s="244">
        <f>E676</f>
        <v>43881.8</v>
      </c>
      <c r="G678" s="482">
        <v>4</v>
      </c>
      <c r="H678" s="249">
        <f>+G678*F678</f>
        <v>175527.2</v>
      </c>
      <c r="I678" s="253"/>
      <c r="J678" s="79"/>
      <c r="K678" s="344"/>
      <c r="L678" s="343"/>
      <c r="M678" s="83"/>
      <c r="N678" s="91">
        <f>H678</f>
        <v>175527.2</v>
      </c>
      <c r="O678" s="83"/>
      <c r="P678" s="31"/>
      <c r="Q678" s="344"/>
      <c r="R678" s="275"/>
    </row>
    <row r="679" spans="1:18" s="89" customFormat="1" x14ac:dyDescent="0.2">
      <c r="A679" s="275"/>
      <c r="B679" s="343"/>
      <c r="C679" s="63"/>
      <c r="D679" s="75" t="s">
        <v>158</v>
      </c>
      <c r="E679" s="247">
        <v>66</v>
      </c>
      <c r="F679" s="244">
        <f>E676/150*1.5</f>
        <v>438.81800000000004</v>
      </c>
      <c r="G679" s="482">
        <f>+F683</f>
        <v>5</v>
      </c>
      <c r="H679" s="249">
        <f>+G679*F679*E679</f>
        <v>144809.94</v>
      </c>
      <c r="I679" s="253"/>
      <c r="J679" s="79"/>
      <c r="K679" s="344"/>
      <c r="L679" s="343"/>
      <c r="M679" s="83"/>
      <c r="N679" s="91">
        <f>H679</f>
        <v>144809.94</v>
      </c>
      <c r="O679" s="83"/>
      <c r="P679" s="31"/>
      <c r="Q679" s="344"/>
      <c r="R679" s="275"/>
    </row>
    <row r="680" spans="1:18" s="89" customFormat="1" x14ac:dyDescent="0.2">
      <c r="A680" s="275"/>
      <c r="B680" s="343"/>
      <c r="C680" s="63"/>
      <c r="D680" s="75" t="s">
        <v>14</v>
      </c>
      <c r="E680" s="339" t="s">
        <v>119</v>
      </c>
      <c r="F680" s="244">
        <v>0</v>
      </c>
      <c r="G680" s="249">
        <f>$H$3</f>
        <v>80</v>
      </c>
      <c r="H680" s="249">
        <f>+G680*F680</f>
        <v>0</v>
      </c>
      <c r="I680" s="253"/>
      <c r="J680" s="79"/>
      <c r="K680" s="344"/>
      <c r="L680" s="343"/>
      <c r="M680" s="83"/>
      <c r="N680" s="91">
        <f>H680</f>
        <v>0</v>
      </c>
      <c r="O680" s="83"/>
      <c r="P680" s="31"/>
      <c r="Q680" s="344"/>
      <c r="R680" s="275"/>
    </row>
    <row r="681" spans="1:18" s="89" customFormat="1" x14ac:dyDescent="0.2">
      <c r="A681" s="275"/>
      <c r="B681" s="343"/>
      <c r="C681" s="63"/>
      <c r="D681" s="75" t="s">
        <v>16</v>
      </c>
      <c r="E681" s="339" t="s">
        <v>119</v>
      </c>
      <c r="F681" s="244">
        <v>0</v>
      </c>
      <c r="G681" s="249">
        <f>$H$4</f>
        <v>40</v>
      </c>
      <c r="H681" s="249">
        <f>+G681*F681</f>
        <v>0</v>
      </c>
      <c r="I681" s="253"/>
      <c r="J681" s="79"/>
      <c r="K681" s="344"/>
      <c r="L681" s="343"/>
      <c r="M681" s="83"/>
      <c r="N681" s="91">
        <f>H681</f>
        <v>0</v>
      </c>
      <c r="O681" s="83"/>
      <c r="P681" s="31"/>
      <c r="Q681" s="344"/>
      <c r="R681" s="275"/>
    </row>
    <row r="682" spans="1:18" s="89" customFormat="1" x14ac:dyDescent="0.2">
      <c r="A682" s="275"/>
      <c r="B682" s="343"/>
      <c r="C682" s="63"/>
      <c r="D682" s="75" t="s">
        <v>13</v>
      </c>
      <c r="E682" s="337" t="s">
        <v>161</v>
      </c>
      <c r="F682" s="244">
        <f>E676</f>
        <v>43881.8</v>
      </c>
      <c r="G682" s="482">
        <v>1</v>
      </c>
      <c r="H682" s="249">
        <f>+G682*F682</f>
        <v>43881.8</v>
      </c>
      <c r="I682" s="253"/>
      <c r="J682" s="79"/>
      <c r="K682" s="344"/>
      <c r="L682" s="343"/>
      <c r="M682" s="83"/>
      <c r="N682" s="91"/>
      <c r="O682" s="83">
        <f>SUM(H682)</f>
        <v>43881.8</v>
      </c>
      <c r="P682" s="31"/>
      <c r="Q682" s="344"/>
      <c r="R682" s="275"/>
    </row>
    <row r="683" spans="1:18" s="89" customFormat="1" x14ac:dyDescent="0.2">
      <c r="A683" s="275"/>
      <c r="B683" s="343"/>
      <c r="C683" s="63"/>
      <c r="D683" s="75" t="s">
        <v>157</v>
      </c>
      <c r="E683" s="339" t="s">
        <v>117</v>
      </c>
      <c r="F683" s="241">
        <f>+G677+G678+G682</f>
        <v>5</v>
      </c>
      <c r="G683" s="248" t="s">
        <v>143</v>
      </c>
      <c r="H683" s="249">
        <f>SUM(H677:H682)</f>
        <v>364218.94</v>
      </c>
      <c r="I683" s="245"/>
      <c r="J683" s="79"/>
      <c r="K683" s="344"/>
      <c r="L683" s="343"/>
      <c r="M683" s="239"/>
      <c r="N683" s="240"/>
      <c r="O683" s="91"/>
      <c r="P683" s="31"/>
      <c r="Q683" s="344"/>
      <c r="R683" s="275"/>
    </row>
    <row r="684" spans="1:18" s="89" customFormat="1" x14ac:dyDescent="0.2">
      <c r="A684" s="275"/>
      <c r="B684" s="343"/>
      <c r="C684" s="63"/>
      <c r="D684" s="116" t="s">
        <v>142</v>
      </c>
      <c r="E684" s="339" t="s">
        <v>117</v>
      </c>
      <c r="F684" s="244">
        <f>+E676+F679*E679</f>
        <v>72843.788</v>
      </c>
      <c r="G684" s="478"/>
      <c r="H684" s="249">
        <f>+((F684/2)*F683)/6</f>
        <v>30351.578333333335</v>
      </c>
      <c r="I684" s="250"/>
      <c r="J684" s="236"/>
      <c r="K684" s="344"/>
      <c r="L684" s="343"/>
      <c r="M684" s="83"/>
      <c r="N684" s="92"/>
      <c r="O684" s="93">
        <f>H684</f>
        <v>30351.578333333335</v>
      </c>
      <c r="P684" s="88"/>
      <c r="Q684" s="344"/>
      <c r="R684" s="275"/>
    </row>
    <row r="685" spans="1:18" s="89" customFormat="1" x14ac:dyDescent="0.2">
      <c r="A685" s="275"/>
      <c r="B685" s="343"/>
      <c r="C685" s="63"/>
      <c r="D685" s="81" t="s">
        <v>191</v>
      </c>
      <c r="E685" s="244"/>
      <c r="F685" s="244">
        <f>+E676+F679*E679</f>
        <v>72843.788</v>
      </c>
      <c r="G685" s="479"/>
      <c r="H685" s="249">
        <f>+(F685/30)*((F683*30)/20)</f>
        <v>18210.947</v>
      </c>
      <c r="I685" s="251">
        <v>0</v>
      </c>
      <c r="J685" s="93">
        <f>+(H683+H684+H685)*C676</f>
        <v>412781.4653333333</v>
      </c>
      <c r="K685" s="344"/>
      <c r="L685" s="343"/>
      <c r="M685" s="83"/>
      <c r="N685" s="92"/>
      <c r="O685" s="93">
        <f>H685</f>
        <v>18210.947</v>
      </c>
      <c r="P685" s="88"/>
      <c r="Q685" s="344"/>
      <c r="R685" s="275"/>
    </row>
    <row r="686" spans="1:18" s="89" customFormat="1" x14ac:dyDescent="0.2">
      <c r="A686" s="275"/>
      <c r="B686" s="343"/>
      <c r="C686" s="63"/>
      <c r="D686" s="94"/>
      <c r="E686" s="7"/>
      <c r="F686" s="241"/>
      <c r="G686" s="483"/>
      <c r="H686" s="453"/>
      <c r="I686" s="253"/>
      <c r="J686" s="79"/>
      <c r="K686" s="344"/>
      <c r="L686" s="343"/>
      <c r="M686" s="87"/>
      <c r="N686" s="79"/>
      <c r="O686" s="79"/>
      <c r="P686" s="88"/>
      <c r="Q686" s="344"/>
      <c r="R686" s="275"/>
    </row>
    <row r="687" spans="1:18" s="89" customFormat="1" ht="15" customHeight="1" x14ac:dyDescent="0.2">
      <c r="A687" s="275"/>
      <c r="B687" s="360"/>
      <c r="C687" s="13">
        <v>1</v>
      </c>
      <c r="D687" s="264" t="s">
        <v>261</v>
      </c>
      <c r="E687" s="18">
        <v>43881.8</v>
      </c>
      <c r="F687" s="241"/>
      <c r="G687" s="480"/>
      <c r="H687" s="481"/>
      <c r="I687" s="254"/>
      <c r="J687" s="146"/>
      <c r="K687" s="361"/>
      <c r="L687" s="360"/>
      <c r="M687" s="87"/>
      <c r="N687" s="79"/>
      <c r="O687" s="79"/>
      <c r="P687" s="88"/>
      <c r="Q687" s="361"/>
      <c r="R687" s="275"/>
    </row>
    <row r="688" spans="1:18" s="89" customFormat="1" x14ac:dyDescent="0.2">
      <c r="A688" s="275"/>
      <c r="B688" s="343"/>
      <c r="C688" s="63"/>
      <c r="D688" s="75" t="s">
        <v>84</v>
      </c>
      <c r="E688" s="336" t="s">
        <v>160</v>
      </c>
      <c r="F688" s="244">
        <f>E687</f>
        <v>43881.8</v>
      </c>
      <c r="G688" s="482">
        <v>0</v>
      </c>
      <c r="H688" s="249">
        <f>+G688*F688</f>
        <v>0</v>
      </c>
      <c r="I688" s="253"/>
      <c r="J688" s="79"/>
      <c r="K688" s="344"/>
      <c r="L688" s="343"/>
      <c r="M688" s="83">
        <f>H688</f>
        <v>0</v>
      </c>
      <c r="N688" s="91"/>
      <c r="O688" s="83"/>
      <c r="P688" s="31"/>
      <c r="Q688" s="344"/>
      <c r="R688" s="275"/>
    </row>
    <row r="689" spans="1:18" s="89" customFormat="1" x14ac:dyDescent="0.2">
      <c r="A689" s="275"/>
      <c r="B689" s="343"/>
      <c r="C689" s="63"/>
      <c r="D689" s="75" t="s">
        <v>77</v>
      </c>
      <c r="E689" s="337" t="s">
        <v>160</v>
      </c>
      <c r="F689" s="244">
        <f>E687</f>
        <v>43881.8</v>
      </c>
      <c r="G689" s="482">
        <v>4</v>
      </c>
      <c r="H689" s="249">
        <f>+G689*F689</f>
        <v>175527.2</v>
      </c>
      <c r="I689" s="253"/>
      <c r="J689" s="79"/>
      <c r="K689" s="344"/>
      <c r="L689" s="343"/>
      <c r="M689" s="83"/>
      <c r="N689" s="91">
        <f>H689</f>
        <v>175527.2</v>
      </c>
      <c r="O689" s="83"/>
      <c r="P689" s="31"/>
      <c r="Q689" s="344"/>
      <c r="R689" s="275"/>
    </row>
    <row r="690" spans="1:18" s="89" customFormat="1" x14ac:dyDescent="0.2">
      <c r="A690" s="275"/>
      <c r="B690" s="343"/>
      <c r="C690" s="63"/>
      <c r="D690" s="75" t="s">
        <v>158</v>
      </c>
      <c r="E690" s="247">
        <v>66</v>
      </c>
      <c r="F690" s="244">
        <f>E687/150*1.5</f>
        <v>438.81800000000004</v>
      </c>
      <c r="G690" s="482">
        <f>+F694</f>
        <v>5</v>
      </c>
      <c r="H690" s="249">
        <f>+G690*F690*E690</f>
        <v>144809.94</v>
      </c>
      <c r="I690" s="253"/>
      <c r="J690" s="79"/>
      <c r="K690" s="344"/>
      <c r="L690" s="343"/>
      <c r="M690" s="83"/>
      <c r="N690" s="91">
        <f>H690</f>
        <v>144809.94</v>
      </c>
      <c r="O690" s="83"/>
      <c r="P690" s="31"/>
      <c r="Q690" s="344"/>
      <c r="R690" s="275"/>
    </row>
    <row r="691" spans="1:18" s="89" customFormat="1" x14ac:dyDescent="0.2">
      <c r="A691" s="275"/>
      <c r="B691" s="343"/>
      <c r="C691" s="63"/>
      <c r="D691" s="75" t="s">
        <v>14</v>
      </c>
      <c r="E691" s="339" t="s">
        <v>119</v>
      </c>
      <c r="F691" s="244">
        <v>0</v>
      </c>
      <c r="G691" s="249">
        <f>$H$3</f>
        <v>80</v>
      </c>
      <c r="H691" s="249">
        <f>+G691*F691</f>
        <v>0</v>
      </c>
      <c r="I691" s="253"/>
      <c r="J691" s="79"/>
      <c r="K691" s="344"/>
      <c r="L691" s="343"/>
      <c r="M691" s="83"/>
      <c r="N691" s="91">
        <f>H691</f>
        <v>0</v>
      </c>
      <c r="O691" s="83"/>
      <c r="P691" s="31"/>
      <c r="Q691" s="344"/>
      <c r="R691" s="275"/>
    </row>
    <row r="692" spans="1:18" s="89" customFormat="1" x14ac:dyDescent="0.2">
      <c r="A692" s="275"/>
      <c r="B692" s="343"/>
      <c r="C692" s="63"/>
      <c r="D692" s="75" t="s">
        <v>16</v>
      </c>
      <c r="E692" s="339" t="s">
        <v>119</v>
      </c>
      <c r="F692" s="244">
        <v>0</v>
      </c>
      <c r="G692" s="249">
        <f>$H$4</f>
        <v>40</v>
      </c>
      <c r="H692" s="249">
        <f>+G692*F692</f>
        <v>0</v>
      </c>
      <c r="I692" s="253"/>
      <c r="J692" s="79"/>
      <c r="K692" s="344"/>
      <c r="L692" s="343"/>
      <c r="M692" s="83"/>
      <c r="N692" s="91">
        <f>H692</f>
        <v>0</v>
      </c>
      <c r="O692" s="83"/>
      <c r="P692" s="31"/>
      <c r="Q692" s="344"/>
      <c r="R692" s="275"/>
    </row>
    <row r="693" spans="1:18" s="89" customFormat="1" x14ac:dyDescent="0.2">
      <c r="A693" s="275"/>
      <c r="B693" s="343"/>
      <c r="C693" s="63"/>
      <c r="D693" s="75" t="s">
        <v>13</v>
      </c>
      <c r="E693" s="337" t="s">
        <v>161</v>
      </c>
      <c r="F693" s="244">
        <f>E687</f>
        <v>43881.8</v>
      </c>
      <c r="G693" s="482">
        <v>1</v>
      </c>
      <c r="H693" s="249">
        <f>+G693*F693</f>
        <v>43881.8</v>
      </c>
      <c r="I693" s="253"/>
      <c r="J693" s="79"/>
      <c r="K693" s="344"/>
      <c r="L693" s="343"/>
      <c r="M693" s="83"/>
      <c r="N693" s="91"/>
      <c r="O693" s="83">
        <f>SUM(H693)</f>
        <v>43881.8</v>
      </c>
      <c r="P693" s="31"/>
      <c r="Q693" s="344"/>
      <c r="R693" s="275"/>
    </row>
    <row r="694" spans="1:18" s="89" customFormat="1" x14ac:dyDescent="0.2">
      <c r="A694" s="275"/>
      <c r="B694" s="343"/>
      <c r="C694" s="63"/>
      <c r="D694" s="75" t="s">
        <v>157</v>
      </c>
      <c r="E694" s="339" t="s">
        <v>117</v>
      </c>
      <c r="F694" s="241">
        <f>+G688+G689+G693</f>
        <v>5</v>
      </c>
      <c r="G694" s="248" t="s">
        <v>143</v>
      </c>
      <c r="H694" s="249">
        <f>SUM(H688:H693)</f>
        <v>364218.94</v>
      </c>
      <c r="I694" s="245"/>
      <c r="J694" s="79"/>
      <c r="K694" s="344"/>
      <c r="L694" s="343"/>
      <c r="M694" s="239"/>
      <c r="N694" s="240"/>
      <c r="O694" s="91"/>
      <c r="P694" s="31"/>
      <c r="Q694" s="344"/>
      <c r="R694" s="275"/>
    </row>
    <row r="695" spans="1:18" s="89" customFormat="1" x14ac:dyDescent="0.2">
      <c r="A695" s="275"/>
      <c r="B695" s="343"/>
      <c r="C695" s="63"/>
      <c r="D695" s="116" t="s">
        <v>142</v>
      </c>
      <c r="E695" s="339" t="s">
        <v>117</v>
      </c>
      <c r="F695" s="244">
        <f>+E687+F690*E690</f>
        <v>72843.788</v>
      </c>
      <c r="G695" s="478"/>
      <c r="H695" s="249">
        <f>+((F695/2)*F694)/6</f>
        <v>30351.578333333335</v>
      </c>
      <c r="I695" s="250"/>
      <c r="J695" s="236"/>
      <c r="K695" s="344"/>
      <c r="L695" s="343"/>
      <c r="M695" s="83"/>
      <c r="N695" s="92"/>
      <c r="O695" s="93">
        <f>H695</f>
        <v>30351.578333333335</v>
      </c>
      <c r="P695" s="88"/>
      <c r="Q695" s="344"/>
      <c r="R695" s="275"/>
    </row>
    <row r="696" spans="1:18" s="89" customFormat="1" x14ac:dyDescent="0.2">
      <c r="A696" s="275"/>
      <c r="B696" s="343"/>
      <c r="C696" s="63"/>
      <c r="D696" s="116" t="s">
        <v>191</v>
      </c>
      <c r="E696" s="244"/>
      <c r="F696" s="244">
        <f>+E687+F690*E690</f>
        <v>72843.788</v>
      </c>
      <c r="G696" s="479"/>
      <c r="H696" s="249">
        <f>+(F696/30)*((F694*30)/20)</f>
        <v>18210.947</v>
      </c>
      <c r="I696" s="251">
        <v>0</v>
      </c>
      <c r="J696" s="93">
        <f>+(H694+H695+H696)*C687</f>
        <v>412781.4653333333</v>
      </c>
      <c r="K696" s="344"/>
      <c r="L696" s="343"/>
      <c r="M696" s="83"/>
      <c r="N696" s="92"/>
      <c r="O696" s="93">
        <f>H696</f>
        <v>18210.947</v>
      </c>
      <c r="P696" s="88"/>
      <c r="Q696" s="344"/>
      <c r="R696" s="275"/>
    </row>
    <row r="697" spans="1:18" s="89" customFormat="1" x14ac:dyDescent="0.2">
      <c r="A697" s="275"/>
      <c r="B697" s="343"/>
      <c r="C697" s="63"/>
      <c r="D697" s="94"/>
      <c r="E697" s="7"/>
      <c r="F697" s="241"/>
      <c r="G697" s="483"/>
      <c r="H697" s="453"/>
      <c r="I697" s="253"/>
      <c r="J697" s="79"/>
      <c r="K697" s="344"/>
      <c r="L697" s="343"/>
      <c r="M697" s="87"/>
      <c r="N697" s="79"/>
      <c r="O697" s="79"/>
      <c r="P697" s="88"/>
      <c r="Q697" s="344"/>
      <c r="R697" s="275"/>
    </row>
    <row r="698" spans="1:18" s="89" customFormat="1" ht="15" customHeight="1" x14ac:dyDescent="0.2">
      <c r="A698" s="275"/>
      <c r="B698" s="360"/>
      <c r="C698" s="13">
        <v>1</v>
      </c>
      <c r="D698" s="260" t="s">
        <v>243</v>
      </c>
      <c r="E698" s="18">
        <v>31896.03</v>
      </c>
      <c r="F698" s="241"/>
      <c r="G698" s="480"/>
      <c r="H698" s="481"/>
      <c r="I698" s="254"/>
      <c r="J698" s="146"/>
      <c r="K698" s="361"/>
      <c r="L698" s="360"/>
      <c r="M698" s="87"/>
      <c r="N698" s="79"/>
      <c r="O698" s="79"/>
      <c r="P698" s="88"/>
      <c r="Q698" s="361"/>
      <c r="R698" s="275"/>
    </row>
    <row r="699" spans="1:18" s="89" customFormat="1" x14ac:dyDescent="0.2">
      <c r="A699" s="275"/>
      <c r="B699" s="343"/>
      <c r="C699" s="63"/>
      <c r="D699" s="75" t="s">
        <v>84</v>
      </c>
      <c r="E699" s="336" t="s">
        <v>160</v>
      </c>
      <c r="F699" s="244">
        <f>E698</f>
        <v>31896.03</v>
      </c>
      <c r="G699" s="482">
        <v>0</v>
      </c>
      <c r="H699" s="249">
        <f>+G699*F699</f>
        <v>0</v>
      </c>
      <c r="I699" s="253"/>
      <c r="J699" s="79"/>
      <c r="K699" s="344"/>
      <c r="L699" s="343"/>
      <c r="M699" s="83">
        <f>H699</f>
        <v>0</v>
      </c>
      <c r="N699" s="91"/>
      <c r="O699" s="83"/>
      <c r="P699" s="31"/>
      <c r="Q699" s="344"/>
      <c r="R699" s="275"/>
    </row>
    <row r="700" spans="1:18" s="89" customFormat="1" x14ac:dyDescent="0.2">
      <c r="A700" s="275"/>
      <c r="B700" s="343"/>
      <c r="C700" s="63"/>
      <c r="D700" s="75" t="s">
        <v>77</v>
      </c>
      <c r="E700" s="337" t="s">
        <v>160</v>
      </c>
      <c r="F700" s="244">
        <f>E698</f>
        <v>31896.03</v>
      </c>
      <c r="G700" s="482">
        <v>4</v>
      </c>
      <c r="H700" s="249">
        <f>+G700*F700</f>
        <v>127584.12</v>
      </c>
      <c r="I700" s="253"/>
      <c r="J700" s="79"/>
      <c r="K700" s="344"/>
      <c r="L700" s="343"/>
      <c r="M700" s="83"/>
      <c r="N700" s="91">
        <f>H700</f>
        <v>127584.12</v>
      </c>
      <c r="O700" s="83"/>
      <c r="P700" s="31"/>
      <c r="Q700" s="344"/>
      <c r="R700" s="275"/>
    </row>
    <row r="701" spans="1:18" s="89" customFormat="1" x14ac:dyDescent="0.2">
      <c r="A701" s="275"/>
      <c r="B701" s="343"/>
      <c r="C701" s="63"/>
      <c r="D701" s="75" t="s">
        <v>158</v>
      </c>
      <c r="E701" s="247">
        <v>66</v>
      </c>
      <c r="F701" s="244">
        <f>E698/150*1.5</f>
        <v>318.96029999999996</v>
      </c>
      <c r="G701" s="482">
        <f>+F705</f>
        <v>5</v>
      </c>
      <c r="H701" s="249">
        <f>+G701*F701*E701</f>
        <v>105256.89899999999</v>
      </c>
      <c r="I701" s="253"/>
      <c r="J701" s="79"/>
      <c r="K701" s="344"/>
      <c r="L701" s="343"/>
      <c r="M701" s="83"/>
      <c r="N701" s="91">
        <f>H701</f>
        <v>105256.89899999999</v>
      </c>
      <c r="O701" s="83"/>
      <c r="P701" s="31"/>
      <c r="Q701" s="344"/>
      <c r="R701" s="275"/>
    </row>
    <row r="702" spans="1:18" s="89" customFormat="1" x14ac:dyDescent="0.2">
      <c r="A702" s="275"/>
      <c r="B702" s="343"/>
      <c r="C702" s="63"/>
      <c r="D702" s="75" t="s">
        <v>14</v>
      </c>
      <c r="E702" s="339" t="s">
        <v>119</v>
      </c>
      <c r="F702" s="244">
        <v>0</v>
      </c>
      <c r="G702" s="249">
        <f>$H$3</f>
        <v>80</v>
      </c>
      <c r="H702" s="249">
        <f>+G702*F702</f>
        <v>0</v>
      </c>
      <c r="I702" s="253"/>
      <c r="J702" s="79"/>
      <c r="K702" s="344"/>
      <c r="L702" s="343"/>
      <c r="M702" s="83"/>
      <c r="N702" s="91">
        <f>H702</f>
        <v>0</v>
      </c>
      <c r="O702" s="83"/>
      <c r="P702" s="31"/>
      <c r="Q702" s="344"/>
      <c r="R702" s="275"/>
    </row>
    <row r="703" spans="1:18" s="89" customFormat="1" x14ac:dyDescent="0.2">
      <c r="A703" s="275"/>
      <c r="B703" s="343"/>
      <c r="C703" s="63"/>
      <c r="D703" s="75" t="s">
        <v>16</v>
      </c>
      <c r="E703" s="339" t="s">
        <v>119</v>
      </c>
      <c r="F703" s="244">
        <v>0</v>
      </c>
      <c r="G703" s="249">
        <f>$H$4</f>
        <v>40</v>
      </c>
      <c r="H703" s="249">
        <f>+G703*F703</f>
        <v>0</v>
      </c>
      <c r="I703" s="253"/>
      <c r="J703" s="79"/>
      <c r="K703" s="344"/>
      <c r="L703" s="343"/>
      <c r="M703" s="83"/>
      <c r="N703" s="91">
        <f>H703</f>
        <v>0</v>
      </c>
      <c r="O703" s="83"/>
      <c r="P703" s="31"/>
      <c r="Q703" s="344"/>
      <c r="R703" s="275"/>
    </row>
    <row r="704" spans="1:18" s="89" customFormat="1" x14ac:dyDescent="0.2">
      <c r="A704" s="275"/>
      <c r="B704" s="343"/>
      <c r="C704" s="63"/>
      <c r="D704" s="75" t="s">
        <v>13</v>
      </c>
      <c r="E704" s="337" t="s">
        <v>161</v>
      </c>
      <c r="F704" s="244">
        <f>E698</f>
        <v>31896.03</v>
      </c>
      <c r="G704" s="482">
        <v>1</v>
      </c>
      <c r="H704" s="249">
        <f>+G704*F704</f>
        <v>31896.03</v>
      </c>
      <c r="I704" s="253"/>
      <c r="J704" s="79"/>
      <c r="K704" s="344"/>
      <c r="L704" s="343"/>
      <c r="M704" s="83"/>
      <c r="N704" s="91"/>
      <c r="O704" s="83">
        <f>SUM(H704)</f>
        <v>31896.03</v>
      </c>
      <c r="P704" s="31"/>
      <c r="Q704" s="344"/>
      <c r="R704" s="275"/>
    </row>
    <row r="705" spans="1:18" s="89" customFormat="1" x14ac:dyDescent="0.2">
      <c r="A705" s="275"/>
      <c r="B705" s="343"/>
      <c r="C705" s="63"/>
      <c r="D705" s="75" t="s">
        <v>157</v>
      </c>
      <c r="E705" s="339" t="s">
        <v>117</v>
      </c>
      <c r="F705" s="241">
        <f>+G699+G700+G704</f>
        <v>5</v>
      </c>
      <c r="G705" s="248" t="s">
        <v>143</v>
      </c>
      <c r="H705" s="249">
        <f>SUM(H699:H704)</f>
        <v>264737.049</v>
      </c>
      <c r="I705" s="245"/>
      <c r="J705" s="79"/>
      <c r="K705" s="344"/>
      <c r="L705" s="343"/>
      <c r="M705" s="239"/>
      <c r="N705" s="240"/>
      <c r="O705" s="91"/>
      <c r="P705" s="31"/>
      <c r="Q705" s="344"/>
      <c r="R705" s="275"/>
    </row>
    <row r="706" spans="1:18" s="89" customFormat="1" x14ac:dyDescent="0.2">
      <c r="A706" s="275"/>
      <c r="B706" s="343"/>
      <c r="C706" s="63"/>
      <c r="D706" s="116" t="s">
        <v>142</v>
      </c>
      <c r="E706" s="339" t="s">
        <v>117</v>
      </c>
      <c r="F706" s="244">
        <f>+E698+F701*E701</f>
        <v>52947.409799999994</v>
      </c>
      <c r="G706" s="478"/>
      <c r="H706" s="249">
        <f>+((F706/2)*F705)/6</f>
        <v>22061.420750000001</v>
      </c>
      <c r="I706" s="250"/>
      <c r="J706" s="236"/>
      <c r="K706" s="344"/>
      <c r="L706" s="343"/>
      <c r="M706" s="83"/>
      <c r="N706" s="92"/>
      <c r="O706" s="93">
        <f>H706</f>
        <v>22061.420750000001</v>
      </c>
      <c r="P706" s="88"/>
      <c r="Q706" s="344"/>
      <c r="R706" s="275"/>
    </row>
    <row r="707" spans="1:18" s="89" customFormat="1" x14ac:dyDescent="0.2">
      <c r="A707" s="275"/>
      <c r="B707" s="343"/>
      <c r="C707" s="63"/>
      <c r="D707" s="116" t="s">
        <v>191</v>
      </c>
      <c r="E707" s="244"/>
      <c r="F707" s="244">
        <f>+E698+F701*E701</f>
        <v>52947.409799999994</v>
      </c>
      <c r="G707" s="479"/>
      <c r="H707" s="249">
        <f>+(F707/30)*((F705*30)/20)</f>
        <v>13236.852449999998</v>
      </c>
      <c r="I707" s="251">
        <v>0</v>
      </c>
      <c r="J707" s="93">
        <f>+(H705+H706+H707)*C698</f>
        <v>300035.3222</v>
      </c>
      <c r="K707" s="344"/>
      <c r="L707" s="343"/>
      <c r="M707" s="83"/>
      <c r="N707" s="92"/>
      <c r="O707" s="93">
        <f>H707</f>
        <v>13236.852449999998</v>
      </c>
      <c r="P707" s="88"/>
      <c r="Q707" s="344"/>
      <c r="R707" s="275"/>
    </row>
    <row r="708" spans="1:18" s="89" customFormat="1" x14ac:dyDescent="0.2">
      <c r="A708" s="275"/>
      <c r="B708" s="343"/>
      <c r="C708" s="63"/>
      <c r="D708" s="94"/>
      <c r="E708" s="7"/>
      <c r="F708" s="241"/>
      <c r="G708" s="483"/>
      <c r="H708" s="453"/>
      <c r="I708" s="253"/>
      <c r="J708" s="79"/>
      <c r="K708" s="344"/>
      <c r="L708" s="343"/>
      <c r="M708" s="87"/>
      <c r="N708" s="79"/>
      <c r="O708" s="79"/>
      <c r="P708" s="88"/>
      <c r="Q708" s="344"/>
      <c r="R708" s="275"/>
    </row>
    <row r="709" spans="1:18" s="89" customFormat="1" ht="15" customHeight="1" x14ac:dyDescent="0.2">
      <c r="A709" s="275"/>
      <c r="B709" s="360"/>
      <c r="C709" s="13">
        <v>1</v>
      </c>
      <c r="D709" s="260" t="s">
        <v>345</v>
      </c>
      <c r="E709" s="18">
        <v>43881.8</v>
      </c>
      <c r="F709" s="241"/>
      <c r="G709" s="480"/>
      <c r="H709" s="481"/>
      <c r="I709" s="254"/>
      <c r="J709" s="146"/>
      <c r="K709" s="361"/>
      <c r="L709" s="360"/>
      <c r="M709" s="87"/>
      <c r="N709" s="79"/>
      <c r="O709" s="79"/>
      <c r="P709" s="88"/>
      <c r="Q709" s="361"/>
      <c r="R709" s="275"/>
    </row>
    <row r="710" spans="1:18" s="89" customFormat="1" x14ac:dyDescent="0.2">
      <c r="A710" s="275"/>
      <c r="B710" s="343"/>
      <c r="C710" s="63"/>
      <c r="D710" s="75" t="s">
        <v>84</v>
      </c>
      <c r="E710" s="336" t="s">
        <v>160</v>
      </c>
      <c r="F710" s="244">
        <f>E709</f>
        <v>43881.8</v>
      </c>
      <c r="G710" s="482">
        <v>0</v>
      </c>
      <c r="H710" s="249">
        <f>+G710*F710</f>
        <v>0</v>
      </c>
      <c r="I710" s="253"/>
      <c r="J710" s="79"/>
      <c r="K710" s="344"/>
      <c r="L710" s="343"/>
      <c r="M710" s="83">
        <f>H710</f>
        <v>0</v>
      </c>
      <c r="N710" s="91"/>
      <c r="O710" s="83"/>
      <c r="P710" s="31"/>
      <c r="Q710" s="344"/>
      <c r="R710" s="275"/>
    </row>
    <row r="711" spans="1:18" s="89" customFormat="1" x14ac:dyDescent="0.2">
      <c r="A711" s="275"/>
      <c r="B711" s="343"/>
      <c r="C711" s="63"/>
      <c r="D711" s="75" t="s">
        <v>77</v>
      </c>
      <c r="E711" s="337" t="s">
        <v>160</v>
      </c>
      <c r="F711" s="244">
        <f>E709</f>
        <v>43881.8</v>
      </c>
      <c r="G711" s="482">
        <v>4</v>
      </c>
      <c r="H711" s="249">
        <f>+G711*F711</f>
        <v>175527.2</v>
      </c>
      <c r="I711" s="253"/>
      <c r="J711" s="79"/>
      <c r="K711" s="344"/>
      <c r="L711" s="343"/>
      <c r="M711" s="83"/>
      <c r="N711" s="91">
        <f>H711</f>
        <v>175527.2</v>
      </c>
      <c r="O711" s="83"/>
      <c r="P711" s="31"/>
      <c r="Q711" s="344"/>
      <c r="R711" s="275"/>
    </row>
    <row r="712" spans="1:18" s="89" customFormat="1" x14ac:dyDescent="0.2">
      <c r="A712" s="275"/>
      <c r="B712" s="343"/>
      <c r="C712" s="63"/>
      <c r="D712" s="75" t="s">
        <v>158</v>
      </c>
      <c r="E712" s="247">
        <v>66</v>
      </c>
      <c r="F712" s="244">
        <f>E709/150*1.5</f>
        <v>438.81800000000004</v>
      </c>
      <c r="G712" s="482">
        <f>+F716</f>
        <v>5</v>
      </c>
      <c r="H712" s="249">
        <f>+G712*F712*E712</f>
        <v>144809.94</v>
      </c>
      <c r="I712" s="253"/>
      <c r="J712" s="79"/>
      <c r="K712" s="344"/>
      <c r="L712" s="343"/>
      <c r="M712" s="83"/>
      <c r="N712" s="91">
        <f>H712</f>
        <v>144809.94</v>
      </c>
      <c r="O712" s="83"/>
      <c r="P712" s="31"/>
      <c r="Q712" s="344"/>
      <c r="R712" s="275"/>
    </row>
    <row r="713" spans="1:18" s="89" customFormat="1" x14ac:dyDescent="0.2">
      <c r="A713" s="275"/>
      <c r="B713" s="343"/>
      <c r="C713" s="63"/>
      <c r="D713" s="75" t="s">
        <v>14</v>
      </c>
      <c r="E713" s="339" t="s">
        <v>119</v>
      </c>
      <c r="F713" s="244">
        <v>0</v>
      </c>
      <c r="G713" s="249">
        <f>$H$3</f>
        <v>80</v>
      </c>
      <c r="H713" s="249">
        <f>+G713*F713</f>
        <v>0</v>
      </c>
      <c r="I713" s="253"/>
      <c r="J713" s="79"/>
      <c r="K713" s="344"/>
      <c r="L713" s="343"/>
      <c r="M713" s="83"/>
      <c r="N713" s="91">
        <f>H713</f>
        <v>0</v>
      </c>
      <c r="O713" s="83"/>
      <c r="P713" s="31"/>
      <c r="Q713" s="344"/>
      <c r="R713" s="275"/>
    </row>
    <row r="714" spans="1:18" s="89" customFormat="1" x14ac:dyDescent="0.2">
      <c r="A714" s="275"/>
      <c r="B714" s="343"/>
      <c r="C714" s="63"/>
      <c r="D714" s="75" t="s">
        <v>16</v>
      </c>
      <c r="E714" s="339" t="s">
        <v>119</v>
      </c>
      <c r="F714" s="244">
        <v>0</v>
      </c>
      <c r="G714" s="249">
        <f>$H$4</f>
        <v>40</v>
      </c>
      <c r="H714" s="249">
        <f>+G714*F714</f>
        <v>0</v>
      </c>
      <c r="I714" s="253"/>
      <c r="J714" s="79"/>
      <c r="K714" s="344"/>
      <c r="L714" s="343"/>
      <c r="M714" s="83"/>
      <c r="N714" s="91">
        <f>H714</f>
        <v>0</v>
      </c>
      <c r="O714" s="83"/>
      <c r="P714" s="31"/>
      <c r="Q714" s="344"/>
      <c r="R714" s="275"/>
    </row>
    <row r="715" spans="1:18" s="89" customFormat="1" x14ac:dyDescent="0.2">
      <c r="A715" s="275"/>
      <c r="B715" s="343"/>
      <c r="C715" s="63"/>
      <c r="D715" s="75" t="s">
        <v>13</v>
      </c>
      <c r="E715" s="337" t="s">
        <v>161</v>
      </c>
      <c r="F715" s="244">
        <f>E709</f>
        <v>43881.8</v>
      </c>
      <c r="G715" s="482">
        <v>1</v>
      </c>
      <c r="H715" s="249">
        <f>+G715*F715</f>
        <v>43881.8</v>
      </c>
      <c r="I715" s="253"/>
      <c r="J715" s="79"/>
      <c r="K715" s="344"/>
      <c r="L715" s="343"/>
      <c r="M715" s="83"/>
      <c r="N715" s="91"/>
      <c r="O715" s="83">
        <f>SUM(H715)</f>
        <v>43881.8</v>
      </c>
      <c r="P715" s="31"/>
      <c r="Q715" s="344"/>
      <c r="R715" s="275"/>
    </row>
    <row r="716" spans="1:18" s="89" customFormat="1" x14ac:dyDescent="0.2">
      <c r="A716" s="275"/>
      <c r="B716" s="343"/>
      <c r="C716" s="63"/>
      <c r="D716" s="75" t="s">
        <v>157</v>
      </c>
      <c r="E716" s="339" t="s">
        <v>117</v>
      </c>
      <c r="F716" s="241">
        <f>+G710+G711+G715</f>
        <v>5</v>
      </c>
      <c r="G716" s="248" t="s">
        <v>143</v>
      </c>
      <c r="H716" s="249">
        <f>SUM(H710:H715)</f>
        <v>364218.94</v>
      </c>
      <c r="I716" s="245"/>
      <c r="J716" s="79"/>
      <c r="K716" s="344"/>
      <c r="L716" s="343"/>
      <c r="M716" s="239"/>
      <c r="N716" s="240"/>
      <c r="O716" s="91"/>
      <c r="P716" s="31"/>
      <c r="Q716" s="344"/>
      <c r="R716" s="275"/>
    </row>
    <row r="717" spans="1:18" s="89" customFormat="1" x14ac:dyDescent="0.2">
      <c r="A717" s="275"/>
      <c r="B717" s="343"/>
      <c r="C717" s="63"/>
      <c r="D717" s="116" t="s">
        <v>142</v>
      </c>
      <c r="E717" s="339" t="s">
        <v>117</v>
      </c>
      <c r="F717" s="244">
        <f>+E709+F712*E712</f>
        <v>72843.788</v>
      </c>
      <c r="G717" s="478"/>
      <c r="H717" s="249">
        <f>+((F717/2)*F716)/6</f>
        <v>30351.578333333335</v>
      </c>
      <c r="I717" s="250"/>
      <c r="J717" s="236"/>
      <c r="K717" s="344"/>
      <c r="L717" s="343"/>
      <c r="M717" s="83"/>
      <c r="N717" s="92"/>
      <c r="O717" s="93">
        <f>H717</f>
        <v>30351.578333333335</v>
      </c>
      <c r="P717" s="88"/>
      <c r="Q717" s="344"/>
      <c r="R717" s="275"/>
    </row>
    <row r="718" spans="1:18" s="89" customFormat="1" x14ac:dyDescent="0.2">
      <c r="A718" s="275"/>
      <c r="B718" s="343"/>
      <c r="C718" s="63"/>
      <c r="D718" s="81" t="s">
        <v>191</v>
      </c>
      <c r="E718" s="244"/>
      <c r="F718" s="244">
        <f>+E709+F712*E712</f>
        <v>72843.788</v>
      </c>
      <c r="G718" s="479"/>
      <c r="H718" s="249">
        <f>+(F718/30)*((F716*30)/20)</f>
        <v>18210.947</v>
      </c>
      <c r="I718" s="251">
        <v>0</v>
      </c>
      <c r="J718" s="93">
        <f>+(H716+H717+H718)*C709</f>
        <v>412781.4653333333</v>
      </c>
      <c r="K718" s="344"/>
      <c r="L718" s="343"/>
      <c r="M718" s="83"/>
      <c r="N718" s="92"/>
      <c r="O718" s="93">
        <f>H718</f>
        <v>18210.947</v>
      </c>
      <c r="P718" s="88"/>
      <c r="Q718" s="344"/>
      <c r="R718" s="275"/>
    </row>
    <row r="719" spans="1:18" s="89" customFormat="1" x14ac:dyDescent="0.2">
      <c r="A719" s="275"/>
      <c r="B719" s="343"/>
      <c r="C719" s="63"/>
      <c r="D719" s="94"/>
      <c r="E719" s="7"/>
      <c r="F719" s="241"/>
      <c r="G719" s="483"/>
      <c r="H719" s="453"/>
      <c r="I719" s="253"/>
      <c r="J719" s="79"/>
      <c r="K719" s="344"/>
      <c r="L719" s="343"/>
      <c r="M719" s="87"/>
      <c r="N719" s="79"/>
      <c r="O719" s="79"/>
      <c r="P719" s="88"/>
      <c r="Q719" s="344"/>
      <c r="R719" s="275"/>
    </row>
    <row r="720" spans="1:18" s="51" customFormat="1" ht="21.95" customHeight="1" x14ac:dyDescent="0.2">
      <c r="A720" s="273"/>
      <c r="B720" s="192"/>
      <c r="C720" s="176">
        <f>SUM(C654:C711)</f>
        <v>7</v>
      </c>
      <c r="D720" s="139"/>
      <c r="E720" s="102"/>
      <c r="F720" s="532" t="s">
        <v>227</v>
      </c>
      <c r="G720" s="533"/>
      <c r="H720" s="332">
        <f>SUM(J103:J718)</f>
        <v>25300685.210490011</v>
      </c>
      <c r="I720" s="328">
        <f>SUM(I105:I372)</f>
        <v>0</v>
      </c>
      <c r="J720" s="328">
        <f>SUM(H720:I720)</f>
        <v>25300685.210490011</v>
      </c>
      <c r="K720" s="282"/>
      <c r="L720" s="281"/>
      <c r="M720" s="329"/>
      <c r="N720" s="330"/>
      <c r="O720" s="331"/>
      <c r="P720" s="333">
        <f>SUM(M720:O720)</f>
        <v>0</v>
      </c>
      <c r="Q720" s="193"/>
      <c r="R720" s="273"/>
    </row>
    <row r="721" spans="1:18" s="51" customFormat="1" ht="23.1" customHeight="1" x14ac:dyDescent="0.2">
      <c r="A721" s="273"/>
      <c r="B721" s="412"/>
      <c r="C721" s="176">
        <f>SUM(C720+C651+C373+C139)</f>
        <v>70</v>
      </c>
      <c r="D721" s="139"/>
      <c r="E721" s="102"/>
      <c r="F721" s="502"/>
      <c r="G721" s="283"/>
      <c r="H721" s="284"/>
      <c r="I721" s="284"/>
      <c r="J721" s="284"/>
      <c r="K721" s="413"/>
      <c r="L721" s="412"/>
      <c r="M721" s="349"/>
      <c r="N721" s="350"/>
      <c r="O721" s="350"/>
      <c r="P721" s="351"/>
      <c r="Q721" s="413"/>
      <c r="R721" s="273"/>
    </row>
    <row r="722" spans="1:18" s="51" customFormat="1" ht="15" customHeight="1" x14ac:dyDescent="0.2">
      <c r="A722" s="273"/>
      <c r="B722" s="412"/>
      <c r="C722" s="347"/>
      <c r="D722" s="139"/>
      <c r="E722" s="102"/>
      <c r="F722" s="283"/>
      <c r="G722" s="283"/>
      <c r="H722" s="284"/>
      <c r="I722" s="284"/>
      <c r="J722" s="284"/>
      <c r="K722" s="413"/>
      <c r="L722" s="412"/>
      <c r="M722" s="349"/>
      <c r="N722" s="350"/>
      <c r="O722" s="350"/>
      <c r="P722" s="351"/>
      <c r="Q722" s="413"/>
      <c r="R722" s="273"/>
    </row>
    <row r="723" spans="1:18" s="51" customFormat="1" ht="15" customHeight="1" x14ac:dyDescent="0.2">
      <c r="A723" s="273"/>
      <c r="B723" s="346"/>
      <c r="C723" s="347"/>
      <c r="D723" s="139"/>
      <c r="E723" s="102"/>
      <c r="F723" s="414"/>
      <c r="G723" s="414"/>
      <c r="H723" s="415"/>
      <c r="I723" s="415"/>
      <c r="J723" s="369"/>
      <c r="K723" s="348"/>
      <c r="L723" s="346"/>
      <c r="M723" s="349"/>
      <c r="N723" s="350"/>
      <c r="O723" s="350"/>
      <c r="P723" s="351"/>
      <c r="Q723" s="348"/>
      <c r="R723" s="273"/>
    </row>
    <row r="724" spans="1:18" s="89" customFormat="1" ht="15" customHeight="1" x14ac:dyDescent="0.2">
      <c r="A724" s="275"/>
      <c r="B724" s="198"/>
      <c r="C724" s="13"/>
      <c r="D724" s="264" t="s">
        <v>192</v>
      </c>
      <c r="E724" s="18"/>
      <c r="F724" s="241"/>
      <c r="G724" s="34"/>
      <c r="H724" s="242"/>
      <c r="I724" s="254"/>
      <c r="J724" s="146"/>
      <c r="K724" s="199"/>
      <c r="L724" s="198"/>
      <c r="M724" s="87"/>
      <c r="N724" s="79"/>
      <c r="O724" s="79"/>
      <c r="P724" s="88"/>
      <c r="Q724" s="199"/>
      <c r="R724" s="275"/>
    </row>
    <row r="725" spans="1:18" s="89" customFormat="1" x14ac:dyDescent="0.2">
      <c r="A725" s="275"/>
      <c r="B725" s="237"/>
      <c r="C725" s="63"/>
      <c r="D725" s="75" t="s">
        <v>193</v>
      </c>
      <c r="E725" s="336" t="s">
        <v>60</v>
      </c>
      <c r="F725" s="244">
        <v>289.08</v>
      </c>
      <c r="G725" s="62">
        <f>+F725*1</f>
        <v>289.08</v>
      </c>
      <c r="H725" s="28"/>
      <c r="I725" s="253"/>
      <c r="J725" s="79"/>
      <c r="K725" s="238"/>
      <c r="L725" s="237"/>
      <c r="M725" s="83">
        <f>H725</f>
        <v>0</v>
      </c>
      <c r="N725" s="91"/>
      <c r="O725" s="83"/>
      <c r="P725" s="31"/>
      <c r="Q725" s="238"/>
      <c r="R725" s="275"/>
    </row>
    <row r="726" spans="1:18" s="89" customFormat="1" x14ac:dyDescent="0.2">
      <c r="A726" s="275"/>
      <c r="B726" s="237"/>
      <c r="C726" s="63"/>
      <c r="D726" s="75" t="s">
        <v>194</v>
      </c>
      <c r="E726" s="337" t="s">
        <v>186</v>
      </c>
      <c r="F726" s="244">
        <v>214.3</v>
      </c>
      <c r="G726" s="62">
        <f>+F726*22</f>
        <v>4714.6000000000004</v>
      </c>
      <c r="H726" s="28">
        <f>+G726*5*C721</f>
        <v>1650110</v>
      </c>
      <c r="I726" s="253"/>
      <c r="J726" s="79"/>
      <c r="K726" s="238"/>
      <c r="L726" s="237"/>
      <c r="M726" s="83"/>
      <c r="N726" s="91">
        <f>H726</f>
        <v>1650110</v>
      </c>
      <c r="O726" s="83"/>
      <c r="P726" s="31"/>
      <c r="Q726" s="238"/>
      <c r="R726" s="275"/>
    </row>
    <row r="727" spans="1:18" s="89" customFormat="1" x14ac:dyDescent="0.2">
      <c r="A727" s="275"/>
      <c r="B727" s="237"/>
      <c r="C727" s="63"/>
      <c r="D727" s="75" t="s">
        <v>195</v>
      </c>
      <c r="E727" s="338" t="s">
        <v>186</v>
      </c>
      <c r="F727" s="244">
        <v>70.739999999999995</v>
      </c>
      <c r="G727" s="62">
        <v>0</v>
      </c>
      <c r="H727" s="28">
        <f>+G727*5*C721</f>
        <v>0</v>
      </c>
      <c r="I727" s="253"/>
      <c r="J727" s="79"/>
      <c r="K727" s="238"/>
      <c r="L727" s="237"/>
      <c r="M727" s="83"/>
      <c r="N727" s="91">
        <f>H727</f>
        <v>0</v>
      </c>
      <c r="O727" s="83"/>
      <c r="P727" s="31"/>
      <c r="Q727" s="238"/>
      <c r="R727" s="275"/>
    </row>
    <row r="728" spans="1:18" s="89" customFormat="1" x14ac:dyDescent="0.2">
      <c r="A728" s="275"/>
      <c r="B728" s="237"/>
      <c r="C728" s="63"/>
      <c r="D728" s="75" t="s">
        <v>196</v>
      </c>
      <c r="E728" s="339" t="s">
        <v>186</v>
      </c>
      <c r="F728" s="244">
        <v>266.89999999999998</v>
      </c>
      <c r="G728" s="62">
        <f>+F728*22</f>
        <v>5871.7999999999993</v>
      </c>
      <c r="H728" s="28">
        <f>+G728*5*C373</f>
        <v>763333.99999999988</v>
      </c>
      <c r="I728" s="253"/>
      <c r="J728" s="79"/>
      <c r="K728" s="238"/>
      <c r="L728" s="237"/>
      <c r="M728" s="83"/>
      <c r="N728" s="91">
        <f>H728</f>
        <v>763333.99999999988</v>
      </c>
      <c r="O728" s="83"/>
      <c r="P728" s="31"/>
      <c r="Q728" s="238"/>
      <c r="R728" s="275"/>
    </row>
    <row r="729" spans="1:18" s="89" customFormat="1" x14ac:dyDescent="0.2">
      <c r="A729" s="275"/>
      <c r="B729" s="237"/>
      <c r="C729" s="63"/>
      <c r="D729" s="75" t="s">
        <v>197</v>
      </c>
      <c r="E729" s="339" t="s">
        <v>60</v>
      </c>
      <c r="F729" s="244"/>
      <c r="G729" s="28"/>
      <c r="H729" s="28"/>
      <c r="I729" s="253"/>
      <c r="J729" s="79"/>
      <c r="K729" s="238"/>
      <c r="L729" s="237"/>
      <c r="M729" s="83"/>
      <c r="N729" s="91">
        <f>H729</f>
        <v>0</v>
      </c>
      <c r="O729" s="83"/>
      <c r="P729" s="31"/>
      <c r="Q729" s="238"/>
      <c r="R729" s="275"/>
    </row>
    <row r="730" spans="1:18" s="89" customFormat="1" x14ac:dyDescent="0.2">
      <c r="A730" s="275"/>
      <c r="B730" s="237"/>
      <c r="C730" s="63"/>
      <c r="D730" s="75" t="s">
        <v>198</v>
      </c>
      <c r="E730" s="337" t="s">
        <v>60</v>
      </c>
      <c r="F730" s="244"/>
      <c r="G730" s="62"/>
      <c r="H730" s="28"/>
      <c r="I730" s="253"/>
      <c r="J730" s="79"/>
      <c r="K730" s="238"/>
      <c r="L730" s="237"/>
      <c r="M730" s="83"/>
      <c r="N730" s="91"/>
      <c r="O730" s="83">
        <f>SUM(H730)</f>
        <v>0</v>
      </c>
      <c r="P730" s="31"/>
      <c r="Q730" s="238"/>
      <c r="R730" s="275"/>
    </row>
    <row r="731" spans="1:18" s="89" customFormat="1" x14ac:dyDescent="0.2">
      <c r="A731" s="275"/>
      <c r="B731" s="237"/>
      <c r="C731" s="63"/>
      <c r="D731" s="75" t="s">
        <v>199</v>
      </c>
      <c r="E731" s="339" t="s">
        <v>201</v>
      </c>
      <c r="F731" s="241">
        <v>6116.19</v>
      </c>
      <c r="G731" s="248">
        <f>+C721</f>
        <v>70</v>
      </c>
      <c r="H731" s="249">
        <f>+F731*G731</f>
        <v>428133.3</v>
      </c>
      <c r="I731" s="245"/>
      <c r="J731" s="79"/>
      <c r="K731" s="238"/>
      <c r="L731" s="237"/>
      <c r="M731" s="239"/>
      <c r="N731" s="240"/>
      <c r="O731" s="91"/>
      <c r="P731" s="31"/>
      <c r="Q731" s="238"/>
      <c r="R731" s="275"/>
    </row>
    <row r="732" spans="1:18" s="89" customFormat="1" x14ac:dyDescent="0.2">
      <c r="A732" s="275"/>
      <c r="B732" s="237"/>
      <c r="C732" s="63"/>
      <c r="D732" s="116" t="s">
        <v>142</v>
      </c>
      <c r="E732" s="339" t="s">
        <v>201</v>
      </c>
      <c r="F732" s="474"/>
      <c r="G732" s="248">
        <v>6</v>
      </c>
      <c r="H732" s="249">
        <f>+H726/G732*0.5+H728/4*0.5+H733/6*0.5</f>
        <v>281189.66666666663</v>
      </c>
      <c r="I732" s="250"/>
      <c r="J732" s="236"/>
      <c r="K732" s="238"/>
      <c r="L732" s="237"/>
      <c r="M732" s="83"/>
      <c r="N732" s="92"/>
      <c r="O732" s="93">
        <f>H732</f>
        <v>281189.66666666663</v>
      </c>
      <c r="P732" s="88"/>
      <c r="Q732" s="238"/>
      <c r="R732" s="275"/>
    </row>
    <row r="733" spans="1:18" s="89" customFormat="1" x14ac:dyDescent="0.2">
      <c r="A733" s="275"/>
      <c r="B733" s="237"/>
      <c r="C733" s="63"/>
      <c r="D733" s="116" t="s">
        <v>225</v>
      </c>
      <c r="E733" s="368" t="s">
        <v>60</v>
      </c>
      <c r="F733" s="244">
        <v>386.11</v>
      </c>
      <c r="G733" s="364">
        <v>150</v>
      </c>
      <c r="H733" s="249">
        <f>+G733*F733*10</f>
        <v>579165</v>
      </c>
      <c r="I733" s="365">
        <v>0</v>
      </c>
      <c r="J733" s="366">
        <f>SUM(H725:H733)</f>
        <v>3701931.9666666663</v>
      </c>
      <c r="K733" s="238"/>
      <c r="L733" s="237"/>
      <c r="M733" s="370"/>
      <c r="N733" s="160"/>
      <c r="O733" s="366">
        <f>H733</f>
        <v>579165</v>
      </c>
      <c r="P733" s="88"/>
      <c r="Q733" s="238"/>
      <c r="R733" s="275"/>
    </row>
    <row r="734" spans="1:18" s="89" customFormat="1" x14ac:dyDescent="0.2">
      <c r="A734" s="275"/>
      <c r="B734" s="237"/>
      <c r="C734" s="63"/>
      <c r="D734" s="367"/>
      <c r="E734" s="18"/>
      <c r="F734" s="244"/>
      <c r="G734" s="232"/>
      <c r="H734" s="246"/>
      <c r="I734" s="251"/>
      <c r="J734" s="93"/>
      <c r="K734" s="238"/>
      <c r="L734" s="237"/>
      <c r="M734" s="83"/>
      <c r="N734" s="93"/>
      <c r="O734" s="93"/>
      <c r="P734" s="371"/>
      <c r="Q734" s="238"/>
      <c r="R734" s="275"/>
    </row>
    <row r="735" spans="1:18" s="49" customFormat="1" ht="20.100000000000001" customHeight="1" x14ac:dyDescent="0.2">
      <c r="A735" s="269"/>
      <c r="B735" s="184"/>
      <c r="C735" s="221"/>
      <c r="D735" s="6"/>
      <c r="E735" s="7"/>
      <c r="F735" s="545" t="s">
        <v>226</v>
      </c>
      <c r="G735" s="545"/>
      <c r="H735" s="372">
        <f>SUM(H726:H734)</f>
        <v>3701931.9666666663</v>
      </c>
      <c r="I735" s="373">
        <f>SUM(I107:I734)</f>
        <v>0</v>
      </c>
      <c r="J735" s="373">
        <f>SUM(J725:J733)</f>
        <v>3701931.9666666663</v>
      </c>
      <c r="K735" s="185"/>
      <c r="L735" s="184"/>
      <c r="M735" s="54"/>
      <c r="N735" s="54"/>
      <c r="O735" s="54"/>
      <c r="P735" s="55"/>
      <c r="Q735" s="185"/>
      <c r="R735" s="269"/>
    </row>
    <row r="736" spans="1:18" s="49" customFormat="1" ht="20.100000000000001" customHeight="1" x14ac:dyDescent="0.2">
      <c r="A736" s="269"/>
      <c r="B736" s="352"/>
      <c r="C736" s="221"/>
      <c r="D736" s="6"/>
      <c r="E736" s="466"/>
      <c r="F736" s="414"/>
      <c r="G736" s="414"/>
      <c r="H736" s="415"/>
      <c r="I736" s="415"/>
      <c r="J736" s="415"/>
      <c r="K736" s="353"/>
      <c r="L736" s="352"/>
      <c r="M736" s="54"/>
      <c r="N736" s="54"/>
      <c r="O736" s="54"/>
      <c r="P736" s="55"/>
      <c r="Q736" s="353"/>
      <c r="R736" s="269"/>
    </row>
    <row r="737" spans="1:18" s="49" customFormat="1" ht="20.100000000000001" customHeight="1" x14ac:dyDescent="0.2">
      <c r="A737" s="269"/>
      <c r="B737" s="352"/>
      <c r="C737" s="221"/>
      <c r="D737" s="6"/>
      <c r="E737" s="7"/>
      <c r="F737" s="545" t="s">
        <v>79</v>
      </c>
      <c r="G737" s="545"/>
      <c r="H737" s="372">
        <f>+H735+H720</f>
        <v>29002617.177156676</v>
      </c>
      <c r="I737" s="373">
        <f>+I735+I720</f>
        <v>0</v>
      </c>
      <c r="J737" s="373">
        <f>+J735+J720</f>
        <v>29002617.177156676</v>
      </c>
      <c r="K737" s="353"/>
      <c r="L737" s="352"/>
      <c r="M737" s="54"/>
      <c r="N737" s="54"/>
      <c r="O737" s="54"/>
      <c r="P737" s="55"/>
      <c r="Q737" s="353"/>
      <c r="R737" s="269"/>
    </row>
    <row r="738" spans="1:18" s="49" customFormat="1" ht="30" customHeight="1" x14ac:dyDescent="0.2">
      <c r="A738" s="269"/>
      <c r="B738" s="352"/>
      <c r="C738" s="65"/>
      <c r="D738" s="6"/>
      <c r="E738" s="465"/>
      <c r="F738" s="414"/>
      <c r="G738" s="414"/>
      <c r="H738" s="415"/>
      <c r="I738" s="415"/>
      <c r="J738" s="415"/>
      <c r="K738" s="353"/>
      <c r="L738" s="352"/>
      <c r="M738" s="54"/>
      <c r="N738" s="54"/>
      <c r="O738" s="54"/>
      <c r="P738" s="55"/>
      <c r="Q738" s="353"/>
      <c r="R738" s="269"/>
    </row>
    <row r="739" spans="1:18" s="51" customFormat="1" ht="15" customHeight="1" x14ac:dyDescent="0.2">
      <c r="A739" s="273"/>
      <c r="B739" s="196"/>
      <c r="C739" s="334">
        <v>5</v>
      </c>
      <c r="D739" s="300" t="s">
        <v>189</v>
      </c>
      <c r="E739" s="323" t="s">
        <v>74</v>
      </c>
      <c r="F739" s="324" t="s">
        <v>38</v>
      </c>
      <c r="G739" s="325" t="s">
        <v>39</v>
      </c>
      <c r="H739" s="321" t="s">
        <v>52</v>
      </c>
      <c r="I739" s="326" t="s">
        <v>55</v>
      </c>
      <c r="J739" s="326" t="s">
        <v>130</v>
      </c>
      <c r="K739" s="197"/>
      <c r="L739" s="196"/>
      <c r="M739" s="327" t="s">
        <v>88</v>
      </c>
      <c r="N739" s="327" t="s">
        <v>25</v>
      </c>
      <c r="O739" s="327" t="s">
        <v>54</v>
      </c>
      <c r="P739" s="322" t="s">
        <v>52</v>
      </c>
      <c r="Q739" s="197"/>
      <c r="R739" s="273"/>
    </row>
    <row r="740" spans="1:18" s="74" customFormat="1" ht="15" customHeight="1" x14ac:dyDescent="0.2">
      <c r="A740" s="276"/>
      <c r="B740" s="266"/>
      <c r="C740" s="13">
        <v>2</v>
      </c>
      <c r="D740" s="261" t="s">
        <v>204</v>
      </c>
      <c r="E740" s="150"/>
      <c r="F740" s="97"/>
      <c r="G740" s="97"/>
      <c r="H740" s="157"/>
      <c r="I740" s="162"/>
      <c r="J740" s="151"/>
      <c r="K740" s="267"/>
      <c r="L740" s="266"/>
      <c r="M740" s="106"/>
      <c r="N740" s="107"/>
      <c r="O740" s="154"/>
      <c r="P740" s="144"/>
      <c r="Q740" s="267"/>
      <c r="R740" s="276"/>
    </row>
    <row r="741" spans="1:18" s="52" customFormat="1" x14ac:dyDescent="0.2">
      <c r="A741" s="269"/>
      <c r="B741" s="190"/>
      <c r="C741" s="67"/>
      <c r="D741" s="500" t="s">
        <v>346</v>
      </c>
      <c r="E741" s="90" t="s">
        <v>117</v>
      </c>
      <c r="F741" s="28">
        <v>83104</v>
      </c>
      <c r="G741" s="11">
        <v>4</v>
      </c>
      <c r="H741" s="28">
        <f>+G741*F741*C740</f>
        <v>664832</v>
      </c>
      <c r="I741" s="93">
        <v>0</v>
      </c>
      <c r="J741" s="93"/>
      <c r="K741" s="191"/>
      <c r="L741" s="190"/>
      <c r="M741" s="108"/>
      <c r="N741" s="34"/>
      <c r="O741" s="105"/>
      <c r="P741" s="32"/>
      <c r="Q741" s="191"/>
      <c r="R741" s="269"/>
    </row>
    <row r="742" spans="1:18" s="52" customFormat="1" x14ac:dyDescent="0.2">
      <c r="A742" s="459"/>
      <c r="B742" s="457"/>
      <c r="C742" s="67"/>
      <c r="D742" s="513" t="s">
        <v>142</v>
      </c>
      <c r="E742" s="514" t="s">
        <v>73</v>
      </c>
      <c r="F742" s="515"/>
      <c r="G742" s="516"/>
      <c r="H742" s="76">
        <f>H741*8.33%</f>
        <v>55380.505599999997</v>
      </c>
      <c r="I742" s="166"/>
      <c r="J742" s="160"/>
      <c r="K742" s="458"/>
      <c r="L742" s="457"/>
      <c r="M742" s="108"/>
      <c r="N742" s="34"/>
      <c r="O742" s="105"/>
      <c r="P742" s="32"/>
      <c r="Q742" s="458"/>
      <c r="R742" s="459"/>
    </row>
    <row r="743" spans="1:18" s="52" customFormat="1" x14ac:dyDescent="0.2">
      <c r="A743" s="459"/>
      <c r="B743" s="457"/>
      <c r="C743" s="67"/>
      <c r="D743" s="513" t="s">
        <v>359</v>
      </c>
      <c r="E743" s="514" t="s">
        <v>73</v>
      </c>
      <c r="F743" s="515"/>
      <c r="G743" s="516"/>
      <c r="H743" s="76">
        <f>H741*7%</f>
        <v>46538.240000000005</v>
      </c>
      <c r="I743" s="166"/>
      <c r="J743" s="93">
        <f>SUM(H741:H743)</f>
        <v>766750.74560000002</v>
      </c>
      <c r="K743" s="458"/>
      <c r="L743" s="457"/>
      <c r="M743" s="108"/>
      <c r="N743" s="34"/>
      <c r="O743" s="105"/>
      <c r="P743" s="32"/>
      <c r="Q743" s="458"/>
      <c r="R743" s="459"/>
    </row>
    <row r="744" spans="1:18" s="74" customFormat="1" ht="15" customHeight="1" x14ac:dyDescent="0.2">
      <c r="A744" s="276"/>
      <c r="B744" s="202"/>
      <c r="C744" s="13">
        <v>12</v>
      </c>
      <c r="D744" s="261" t="s">
        <v>348</v>
      </c>
      <c r="E744" s="150"/>
      <c r="F744" s="97"/>
      <c r="G744" s="97"/>
      <c r="H744" s="157"/>
      <c r="I744" s="162"/>
      <c r="J744" s="151"/>
      <c r="K744" s="203"/>
      <c r="L744" s="202"/>
      <c r="M744" s="106"/>
      <c r="N744" s="107"/>
      <c r="O744" s="154"/>
      <c r="P744" s="144"/>
      <c r="Q744" s="203"/>
      <c r="R744" s="276"/>
    </row>
    <row r="745" spans="1:18" s="52" customFormat="1" x14ac:dyDescent="0.2">
      <c r="A745" s="269"/>
      <c r="B745" s="190"/>
      <c r="C745" s="67"/>
      <c r="D745" s="75" t="s">
        <v>182</v>
      </c>
      <c r="E745" s="90" t="s">
        <v>117</v>
      </c>
      <c r="F745" s="28">
        <v>300000</v>
      </c>
      <c r="G745" s="11">
        <v>2</v>
      </c>
      <c r="H745" s="28">
        <f>+G745*F745</f>
        <v>600000</v>
      </c>
      <c r="I745" s="164"/>
      <c r="J745" s="79"/>
      <c r="K745" s="191"/>
      <c r="L745" s="190"/>
      <c r="M745" s="108"/>
      <c r="N745" s="34"/>
      <c r="O745" s="105"/>
      <c r="P745" s="32"/>
      <c r="Q745" s="191"/>
      <c r="R745" s="269"/>
    </row>
    <row r="746" spans="1:18" s="52" customFormat="1" x14ac:dyDescent="0.2">
      <c r="A746" s="269"/>
      <c r="B746" s="190"/>
      <c r="C746" s="67"/>
      <c r="D746" s="75" t="s">
        <v>183</v>
      </c>
      <c r="E746" s="90" t="s">
        <v>117</v>
      </c>
      <c r="F746" s="83">
        <v>180000</v>
      </c>
      <c r="G746" s="11">
        <v>2</v>
      </c>
      <c r="H746" s="28">
        <f>+G746*F746</f>
        <v>360000</v>
      </c>
      <c r="I746" s="165"/>
      <c r="J746" s="80"/>
      <c r="K746" s="191"/>
      <c r="L746" s="190"/>
      <c r="M746" s="109"/>
      <c r="N746" s="110"/>
      <c r="O746" s="29"/>
      <c r="P746" s="32"/>
      <c r="Q746" s="191"/>
      <c r="R746" s="269"/>
    </row>
    <row r="747" spans="1:18" s="52" customFormat="1" x14ac:dyDescent="0.2">
      <c r="A747" s="269"/>
      <c r="B747" s="340"/>
      <c r="C747" s="67"/>
      <c r="D747" s="75" t="s">
        <v>184</v>
      </c>
      <c r="E747" s="90" t="s">
        <v>73</v>
      </c>
      <c r="F747" s="83">
        <v>83104</v>
      </c>
      <c r="G747" s="11">
        <v>8</v>
      </c>
      <c r="H747" s="28">
        <f>+G747*F747</f>
        <v>664832</v>
      </c>
      <c r="I747" s="165"/>
      <c r="J747" s="80"/>
      <c r="K747" s="341"/>
      <c r="L747" s="340"/>
      <c r="M747" s="109"/>
      <c r="N747" s="110"/>
      <c r="O747" s="29"/>
      <c r="P747" s="32"/>
      <c r="Q747" s="341"/>
      <c r="R747" s="269"/>
    </row>
    <row r="748" spans="1:18" s="52" customFormat="1" x14ac:dyDescent="0.2">
      <c r="A748" s="424"/>
      <c r="B748" s="457"/>
      <c r="C748" s="67"/>
      <c r="D748" s="75" t="s">
        <v>300</v>
      </c>
      <c r="E748" s="90" t="s">
        <v>248</v>
      </c>
      <c r="F748" s="83">
        <f>SUM(F745:F747)</f>
        <v>563104</v>
      </c>
      <c r="G748" s="112" t="s">
        <v>301</v>
      </c>
      <c r="H748" s="28">
        <f>SUM(H745:H747)</f>
        <v>1624832</v>
      </c>
      <c r="I748" s="165"/>
      <c r="J748" s="80"/>
      <c r="K748" s="458"/>
      <c r="L748" s="457"/>
      <c r="M748" s="109"/>
      <c r="N748" s="110"/>
      <c r="O748" s="29"/>
      <c r="P748" s="32"/>
      <c r="Q748" s="458"/>
      <c r="R748" s="424"/>
    </row>
    <row r="749" spans="1:18" s="52" customFormat="1" x14ac:dyDescent="0.2">
      <c r="A749" s="269"/>
      <c r="B749" s="190"/>
      <c r="C749" s="66"/>
      <c r="D749" s="75" t="s">
        <v>73</v>
      </c>
      <c r="E749" s="90"/>
      <c r="F749" s="28">
        <f>SUM(H748)</f>
        <v>1624832</v>
      </c>
      <c r="G749" s="11">
        <v>4</v>
      </c>
      <c r="H749" s="28">
        <f>+G749*F749</f>
        <v>6499328</v>
      </c>
      <c r="I749" s="93">
        <v>0</v>
      </c>
      <c r="J749" s="93"/>
      <c r="K749" s="191"/>
      <c r="L749" s="190"/>
      <c r="M749" s="28">
        <v>0</v>
      </c>
      <c r="N749" s="28"/>
      <c r="O749" s="28"/>
      <c r="P749" s="32"/>
      <c r="Q749" s="191"/>
      <c r="R749" s="269"/>
    </row>
    <row r="750" spans="1:18" s="52" customFormat="1" x14ac:dyDescent="0.2">
      <c r="A750" s="459"/>
      <c r="B750" s="457"/>
      <c r="C750" s="66"/>
      <c r="D750" s="94" t="s">
        <v>142</v>
      </c>
      <c r="E750" s="514" t="s">
        <v>73</v>
      </c>
      <c r="F750" s="515"/>
      <c r="G750" s="516"/>
      <c r="H750" s="76">
        <f>H749*8.33%</f>
        <v>541394.02240000002</v>
      </c>
      <c r="I750" s="166"/>
      <c r="J750" s="160"/>
      <c r="K750" s="458"/>
      <c r="L750" s="457"/>
      <c r="M750" s="256"/>
      <c r="N750" s="82"/>
      <c r="O750" s="152"/>
      <c r="P750" s="32"/>
      <c r="Q750" s="458"/>
      <c r="R750" s="459"/>
    </row>
    <row r="751" spans="1:18" s="52" customFormat="1" x14ac:dyDescent="0.2">
      <c r="A751" s="459"/>
      <c r="B751" s="457"/>
      <c r="C751" s="66"/>
      <c r="D751" s="94" t="s">
        <v>359</v>
      </c>
      <c r="E751" s="514" t="s">
        <v>73</v>
      </c>
      <c r="F751" s="515"/>
      <c r="G751" s="516"/>
      <c r="H751" s="76">
        <f>H749*7%</f>
        <v>454952.96000000002</v>
      </c>
      <c r="I751" s="166"/>
      <c r="J751" s="93">
        <f>SUM(H749:H751)</f>
        <v>7495674.9824000001</v>
      </c>
      <c r="K751" s="458"/>
      <c r="L751" s="457"/>
      <c r="M751" s="256"/>
      <c r="N751" s="82"/>
      <c r="O751" s="152"/>
      <c r="P751" s="32"/>
      <c r="Q751" s="458"/>
      <c r="R751" s="459"/>
    </row>
    <row r="752" spans="1:18" s="74" customFormat="1" ht="15" customHeight="1" x14ac:dyDescent="0.2">
      <c r="A752" s="276"/>
      <c r="B752" s="202"/>
      <c r="C752" s="67">
        <v>8</v>
      </c>
      <c r="D752" s="404" t="s">
        <v>258</v>
      </c>
      <c r="E752" s="150"/>
      <c r="F752" s="97"/>
      <c r="G752" s="97"/>
      <c r="H752" s="157"/>
      <c r="I752" s="162"/>
      <c r="J752" s="151"/>
      <c r="K752" s="203"/>
      <c r="L752" s="202"/>
      <c r="M752" s="106"/>
      <c r="N752" s="107"/>
      <c r="O752" s="154"/>
      <c r="P752" s="144"/>
      <c r="Q752" s="203"/>
      <c r="R752" s="276"/>
    </row>
    <row r="753" spans="1:18" s="52" customFormat="1" x14ac:dyDescent="0.2">
      <c r="A753" s="269"/>
      <c r="B753" s="190"/>
      <c r="C753" s="67"/>
      <c r="D753" s="75" t="s">
        <v>185</v>
      </c>
      <c r="E753" s="90" t="s">
        <v>117</v>
      </c>
      <c r="F753" s="60">
        <v>30000</v>
      </c>
      <c r="G753" s="12">
        <v>8</v>
      </c>
      <c r="H753" s="35">
        <f>+G753*F753</f>
        <v>240000</v>
      </c>
      <c r="I753" s="164"/>
      <c r="J753" s="79"/>
      <c r="K753" s="191"/>
      <c r="L753" s="190"/>
      <c r="M753" s="108"/>
      <c r="N753" s="34"/>
      <c r="O753" s="105"/>
      <c r="P753" s="32"/>
      <c r="Q753" s="191"/>
      <c r="R753" s="269"/>
    </row>
    <row r="754" spans="1:18" s="52" customFormat="1" x14ac:dyDescent="0.2">
      <c r="A754" s="459"/>
      <c r="B754" s="457"/>
      <c r="C754" s="67"/>
      <c r="D754" s="75" t="s">
        <v>142</v>
      </c>
      <c r="E754" s="514" t="s">
        <v>73</v>
      </c>
      <c r="F754" s="517"/>
      <c r="G754" s="518"/>
      <c r="H754" s="519">
        <f>H753*8.33%</f>
        <v>19992</v>
      </c>
      <c r="I754" s="164"/>
      <c r="J754" s="79"/>
      <c r="K754" s="458"/>
      <c r="L754" s="457"/>
      <c r="M754" s="108"/>
      <c r="N754" s="34"/>
      <c r="O754" s="105"/>
      <c r="P754" s="32"/>
      <c r="Q754" s="458"/>
      <c r="R754" s="459"/>
    </row>
    <row r="755" spans="1:18" s="52" customFormat="1" x14ac:dyDescent="0.2">
      <c r="A755" s="269"/>
      <c r="B755" s="190"/>
      <c r="C755" s="42"/>
      <c r="D755" s="75" t="s">
        <v>360</v>
      </c>
      <c r="E755" s="90" t="s">
        <v>73</v>
      </c>
      <c r="F755" s="60"/>
      <c r="G755" s="12"/>
      <c r="H755" s="35">
        <f>H753*7%</f>
        <v>16800</v>
      </c>
      <c r="I755" s="93">
        <v>0</v>
      </c>
      <c r="J755" s="93">
        <f>SUM(H753:H755)</f>
        <v>276792</v>
      </c>
      <c r="K755" s="191"/>
      <c r="L755" s="190"/>
      <c r="M755" s="108"/>
      <c r="N755" s="34"/>
      <c r="O755" s="105"/>
      <c r="P755" s="32"/>
      <c r="Q755" s="191"/>
      <c r="R755" s="269"/>
    </row>
    <row r="756" spans="1:18" s="74" customFormat="1" ht="15" customHeight="1" x14ac:dyDescent="0.2">
      <c r="A756" s="276"/>
      <c r="B756" s="202"/>
      <c r="C756" s="342">
        <v>600</v>
      </c>
      <c r="D756" s="261" t="s">
        <v>244</v>
      </c>
      <c r="E756" s="150"/>
      <c r="F756" s="97"/>
      <c r="G756" s="97"/>
      <c r="H756" s="157"/>
      <c r="I756" s="162"/>
      <c r="J756" s="151"/>
      <c r="K756" s="203"/>
      <c r="L756" s="202"/>
      <c r="M756" s="106"/>
      <c r="N756" s="107"/>
      <c r="O756" s="154"/>
      <c r="P756" s="144"/>
      <c r="Q756" s="203"/>
      <c r="R756" s="276"/>
    </row>
    <row r="757" spans="1:18" s="89" customFormat="1" x14ac:dyDescent="0.2">
      <c r="A757" s="275"/>
      <c r="B757" s="200"/>
      <c r="C757" s="67"/>
      <c r="D757" s="75" t="s">
        <v>188</v>
      </c>
      <c r="E757" s="77" t="s">
        <v>186</v>
      </c>
      <c r="F757" s="83">
        <v>3633</v>
      </c>
      <c r="G757" s="112">
        <v>60</v>
      </c>
      <c r="H757" s="83">
        <f>+F757*G757</f>
        <v>217980</v>
      </c>
      <c r="I757" s="164"/>
      <c r="J757" s="79"/>
      <c r="K757" s="201"/>
      <c r="L757" s="200"/>
      <c r="M757" s="113"/>
      <c r="N757" s="85"/>
      <c r="O757" s="111"/>
      <c r="P757" s="87"/>
      <c r="Q757" s="201"/>
      <c r="R757" s="275"/>
    </row>
    <row r="758" spans="1:18" s="89" customFormat="1" x14ac:dyDescent="0.2">
      <c r="A758" s="275"/>
      <c r="B758" s="200"/>
      <c r="C758" s="67"/>
      <c r="D758" s="75" t="s">
        <v>187</v>
      </c>
      <c r="E758" s="90" t="s">
        <v>186</v>
      </c>
      <c r="F758" s="83">
        <v>2016</v>
      </c>
      <c r="G758" s="112">
        <v>60</v>
      </c>
      <c r="H758" s="83">
        <f>+G758*F758</f>
        <v>120960</v>
      </c>
      <c r="I758" s="164"/>
      <c r="J758" s="79"/>
      <c r="K758" s="201"/>
      <c r="L758" s="200"/>
      <c r="M758" s="113"/>
      <c r="N758" s="85"/>
      <c r="O758" s="111"/>
      <c r="P758" s="87"/>
      <c r="Q758" s="201"/>
      <c r="R758" s="275"/>
    </row>
    <row r="759" spans="1:18" s="52" customFormat="1" x14ac:dyDescent="0.2">
      <c r="A759" s="269"/>
      <c r="B759" s="190"/>
      <c r="C759" s="63"/>
      <c r="D759" s="75" t="s">
        <v>302</v>
      </c>
      <c r="E759" s="90" t="s">
        <v>117</v>
      </c>
      <c r="F759" s="28">
        <f>SUM(F757:F758)</f>
        <v>5649</v>
      </c>
      <c r="G759" s="11">
        <f>+G757*10</f>
        <v>600</v>
      </c>
      <c r="H759" s="28">
        <f>+F759*G759</f>
        <v>3389400</v>
      </c>
      <c r="I759" s="93">
        <v>0</v>
      </c>
      <c r="J759" s="93"/>
      <c r="K759" s="191"/>
      <c r="L759" s="190"/>
      <c r="M759" s="28">
        <v>0</v>
      </c>
      <c r="N759" s="28"/>
      <c r="O759" s="28"/>
      <c r="P759" s="32"/>
      <c r="Q759" s="191"/>
      <c r="R759" s="269"/>
    </row>
    <row r="760" spans="1:18" s="52" customFormat="1" x14ac:dyDescent="0.2">
      <c r="A760" s="459"/>
      <c r="B760" s="457"/>
      <c r="C760" s="63"/>
      <c r="D760" s="94" t="s">
        <v>142</v>
      </c>
      <c r="E760" s="514"/>
      <c r="F760" s="515"/>
      <c r="G760" s="516"/>
      <c r="H760" s="76">
        <f>H759*8.33%</f>
        <v>282337.02</v>
      </c>
      <c r="I760" s="166"/>
      <c r="J760" s="160"/>
      <c r="K760" s="458"/>
      <c r="L760" s="457"/>
      <c r="M760" s="256"/>
      <c r="N760" s="82"/>
      <c r="O760" s="152"/>
      <c r="P760" s="32"/>
      <c r="Q760" s="458"/>
      <c r="R760" s="459"/>
    </row>
    <row r="761" spans="1:18" s="52" customFormat="1" x14ac:dyDescent="0.2">
      <c r="A761" s="459"/>
      <c r="B761" s="457"/>
      <c r="C761" s="63"/>
      <c r="D761" s="94" t="s">
        <v>359</v>
      </c>
      <c r="E761" s="514"/>
      <c r="F761" s="515"/>
      <c r="G761" s="516"/>
      <c r="H761" s="76">
        <f>H759*7%</f>
        <v>237258.00000000003</v>
      </c>
      <c r="I761" s="166"/>
      <c r="J761" s="93">
        <f>SUM(H759:H761)</f>
        <v>3908995.02</v>
      </c>
      <c r="K761" s="458"/>
      <c r="L761" s="457"/>
      <c r="M761" s="256"/>
      <c r="N761" s="82"/>
      <c r="O761" s="152"/>
      <c r="P761" s="32"/>
      <c r="Q761" s="458"/>
      <c r="R761" s="459"/>
    </row>
    <row r="762" spans="1:18" s="74" customFormat="1" ht="15" customHeight="1" x14ac:dyDescent="0.2">
      <c r="A762" s="276"/>
      <c r="B762" s="202"/>
      <c r="C762" s="455">
        <v>800</v>
      </c>
      <c r="D762" s="404" t="s">
        <v>350</v>
      </c>
      <c r="E762" s="150"/>
      <c r="F762" s="97"/>
      <c r="G762" s="97"/>
      <c r="H762" s="157"/>
      <c r="I762" s="162"/>
      <c r="J762" s="151"/>
      <c r="K762" s="203"/>
      <c r="L762" s="202"/>
      <c r="M762" s="106"/>
      <c r="N762" s="107"/>
      <c r="O762" s="154"/>
      <c r="P762" s="144"/>
      <c r="Q762" s="203"/>
      <c r="R762" s="276"/>
    </row>
    <row r="763" spans="1:18" s="89" customFormat="1" x14ac:dyDescent="0.2">
      <c r="A763" s="275"/>
      <c r="B763" s="200"/>
      <c r="C763" s="345"/>
      <c r="D763" s="501" t="s">
        <v>347</v>
      </c>
      <c r="E763" s="119"/>
      <c r="F763" s="86"/>
      <c r="G763" s="86"/>
      <c r="H763" s="158"/>
      <c r="I763" s="164"/>
      <c r="J763" s="79"/>
      <c r="K763" s="201"/>
      <c r="L763" s="200"/>
      <c r="M763" s="113"/>
      <c r="N763" s="85"/>
      <c r="O763" s="111"/>
      <c r="P763" s="87"/>
      <c r="Q763" s="201"/>
      <c r="R763" s="275"/>
    </row>
    <row r="764" spans="1:18" s="89" customFormat="1" x14ac:dyDescent="0.2">
      <c r="A764" s="275"/>
      <c r="B764" s="200"/>
      <c r="C764" s="345"/>
      <c r="D764" s="75" t="s">
        <v>303</v>
      </c>
      <c r="E764" s="155" t="s">
        <v>120</v>
      </c>
      <c r="F764" s="83">
        <v>1002</v>
      </c>
      <c r="G764" s="83">
        <v>60</v>
      </c>
      <c r="H764" s="83">
        <f>+G764*F764</f>
        <v>60120</v>
      </c>
      <c r="I764" s="164"/>
      <c r="J764" s="79"/>
      <c r="K764" s="201"/>
      <c r="L764" s="200"/>
      <c r="M764" s="113"/>
      <c r="N764" s="85"/>
      <c r="O764" s="111"/>
      <c r="P764" s="87"/>
      <c r="Q764" s="201"/>
      <c r="R764" s="275"/>
    </row>
    <row r="765" spans="1:18" s="89" customFormat="1" x14ac:dyDescent="0.2">
      <c r="A765" s="275"/>
      <c r="B765" s="200"/>
      <c r="C765" s="345"/>
      <c r="D765" s="75" t="s">
        <v>124</v>
      </c>
      <c r="E765" s="155" t="s">
        <v>125</v>
      </c>
      <c r="F765" s="83">
        <f>+F764/4*3</f>
        <v>751.5</v>
      </c>
      <c r="G765" s="112">
        <v>60</v>
      </c>
      <c r="H765" s="83">
        <f>+G765*F765</f>
        <v>45090</v>
      </c>
      <c r="I765" s="164"/>
      <c r="J765" s="79"/>
      <c r="K765" s="201"/>
      <c r="L765" s="200"/>
      <c r="M765" s="113"/>
      <c r="N765" s="85"/>
      <c r="O765" s="111"/>
      <c r="P765" s="87"/>
      <c r="Q765" s="201"/>
      <c r="R765" s="275"/>
    </row>
    <row r="766" spans="1:18" s="89" customFormat="1" x14ac:dyDescent="0.2">
      <c r="A766" s="416"/>
      <c r="B766" s="450"/>
      <c r="C766" s="345"/>
      <c r="D766" s="94" t="s">
        <v>304</v>
      </c>
      <c r="E766" s="155" t="s">
        <v>73</v>
      </c>
      <c r="F766" s="83">
        <f>SUM(F764:F765)</f>
        <v>1753.5</v>
      </c>
      <c r="G766" s="112">
        <v>1</v>
      </c>
      <c r="H766" s="83">
        <f>SUM(H764:H765)</f>
        <v>105210</v>
      </c>
      <c r="I766" s="164"/>
      <c r="J766" s="79"/>
      <c r="K766" s="451"/>
      <c r="L766" s="450"/>
      <c r="M766" s="113"/>
      <c r="N766" s="85"/>
      <c r="O766" s="111"/>
      <c r="P766" s="87"/>
      <c r="Q766" s="451"/>
      <c r="R766" s="416"/>
    </row>
    <row r="767" spans="1:18" s="89" customFormat="1" x14ac:dyDescent="0.2">
      <c r="A767" s="275"/>
      <c r="B767" s="343"/>
      <c r="C767" s="345"/>
      <c r="D767" s="96" t="s">
        <v>351</v>
      </c>
      <c r="E767" s="155" t="s">
        <v>73</v>
      </c>
      <c r="F767" s="83">
        <f>SUM(F764:F765)</f>
        <v>1753.5</v>
      </c>
      <c r="G767" s="112">
        <v>1200</v>
      </c>
      <c r="H767" s="83">
        <f>+G767*F767</f>
        <v>2104200</v>
      </c>
      <c r="I767" s="463">
        <v>0</v>
      </c>
      <c r="J767" s="464">
        <f>SUM(H764:H767)</f>
        <v>2314620</v>
      </c>
      <c r="K767" s="344"/>
      <c r="L767" s="343"/>
      <c r="M767" s="113"/>
      <c r="N767" s="85"/>
      <c r="O767" s="111"/>
      <c r="P767" s="87"/>
      <c r="Q767" s="344"/>
      <c r="R767" s="275"/>
    </row>
    <row r="768" spans="1:18" s="51" customFormat="1" ht="15" customHeight="1" x14ac:dyDescent="0.2">
      <c r="A768" s="273"/>
      <c r="B768" s="192"/>
      <c r="C768" s="176">
        <f>SUM(C740:C767)</f>
        <v>1422</v>
      </c>
      <c r="D768" s="139"/>
      <c r="E768" s="102"/>
      <c r="F768" s="536" t="s">
        <v>53</v>
      </c>
      <c r="G768" s="537" t="s">
        <v>95</v>
      </c>
      <c r="H768" s="357">
        <f>+J768</f>
        <v>14762832.748</v>
      </c>
      <c r="I768" s="328">
        <f>SUM(I744:I767)</f>
        <v>0</v>
      </c>
      <c r="J768" s="328">
        <f>SUM(J767,J761,J755,J751,J743)</f>
        <v>14762832.748</v>
      </c>
      <c r="K768" s="282"/>
      <c r="L768" s="281"/>
      <c r="M768" s="329">
        <f>SUM(M744:M767)</f>
        <v>0</v>
      </c>
      <c r="N768" s="330"/>
      <c r="O768" s="331">
        <f>SUM(O744:O767)</f>
        <v>0</v>
      </c>
      <c r="P768" s="333">
        <f>SUM(M768:O768)</f>
        <v>0</v>
      </c>
      <c r="Q768" s="193"/>
      <c r="R768" s="273"/>
    </row>
    <row r="769" spans="1:18" s="49" customFormat="1" ht="30" customHeight="1" x14ac:dyDescent="0.2">
      <c r="A769" s="269"/>
      <c r="B769" s="184"/>
      <c r="C769" s="65"/>
      <c r="D769" s="6"/>
      <c r="E769" s="7"/>
      <c r="F769" s="8"/>
      <c r="G769" s="8"/>
      <c r="H769" s="9"/>
      <c r="I769" s="50"/>
      <c r="J769" s="50"/>
      <c r="K769" s="185"/>
      <c r="L769" s="184"/>
      <c r="M769" s="54"/>
      <c r="N769" s="54"/>
      <c r="O769" s="54"/>
      <c r="P769" s="55"/>
      <c r="Q769" s="185"/>
      <c r="R769" s="269"/>
    </row>
    <row r="770" spans="1:18" s="51" customFormat="1" ht="15" customHeight="1" x14ac:dyDescent="0.2">
      <c r="A770" s="273"/>
      <c r="B770" s="196"/>
      <c r="C770" s="295">
        <v>6</v>
      </c>
      <c r="D770" s="300" t="s">
        <v>20</v>
      </c>
      <c r="E770" s="323" t="s">
        <v>74</v>
      </c>
      <c r="F770" s="324" t="s">
        <v>38</v>
      </c>
      <c r="G770" s="325" t="s">
        <v>39</v>
      </c>
      <c r="H770" s="321" t="s">
        <v>52</v>
      </c>
      <c r="I770" s="326" t="s">
        <v>55</v>
      </c>
      <c r="J770" s="326" t="s">
        <v>130</v>
      </c>
      <c r="K770" s="197"/>
      <c r="L770" s="196"/>
      <c r="M770" s="327" t="s">
        <v>88</v>
      </c>
      <c r="N770" s="327" t="s">
        <v>25</v>
      </c>
      <c r="O770" s="327" t="s">
        <v>54</v>
      </c>
      <c r="P770" s="322" t="s">
        <v>52</v>
      </c>
      <c r="Q770" s="197"/>
      <c r="R770" s="273"/>
    </row>
    <row r="771" spans="1:18" ht="15" customHeight="1" x14ac:dyDescent="0.2">
      <c r="A771" s="269"/>
      <c r="B771" s="190"/>
      <c r="C771" s="63"/>
      <c r="D771" s="262" t="s">
        <v>83</v>
      </c>
      <c r="E771" s="16">
        <v>0.28999999999999998</v>
      </c>
      <c r="F771" s="24">
        <f>SUM(J761+J755+J751+J743)</f>
        <v>12448212.748</v>
      </c>
      <c r="G771" s="30">
        <v>1</v>
      </c>
      <c r="H771" s="28">
        <f>E771*F771*G771</f>
        <v>3609981.6969199996</v>
      </c>
      <c r="I771" s="159">
        <v>0</v>
      </c>
      <c r="J771" s="159">
        <f>H771+I771</f>
        <v>3609981.6969199996</v>
      </c>
      <c r="K771" s="191"/>
      <c r="L771" s="190"/>
      <c r="M771" s="28">
        <f>M768*E771</f>
        <v>0</v>
      </c>
      <c r="N771" s="30"/>
      <c r="O771" s="28"/>
      <c r="P771" s="31"/>
      <c r="Q771" s="191"/>
      <c r="R771" s="269"/>
    </row>
    <row r="772" spans="1:18" ht="15" customHeight="1" x14ac:dyDescent="0.2">
      <c r="A772" s="269"/>
      <c r="B772" s="190"/>
      <c r="C772" s="63"/>
      <c r="D772" s="262" t="s">
        <v>190</v>
      </c>
      <c r="E772" s="16">
        <v>0.28000000000000003</v>
      </c>
      <c r="F772" s="24">
        <f>+H737</f>
        <v>29002617.177156676</v>
      </c>
      <c r="G772" s="30">
        <v>1</v>
      </c>
      <c r="H772" s="28">
        <f>E772*F772*G772</f>
        <v>8120732.8096038699</v>
      </c>
      <c r="I772" s="159">
        <v>0</v>
      </c>
      <c r="J772" s="159">
        <f>H772+I772</f>
        <v>8120732.8096038699</v>
      </c>
      <c r="K772" s="191"/>
      <c r="L772" s="190"/>
      <c r="M772" s="28">
        <f>M720*E772</f>
        <v>0</v>
      </c>
      <c r="N772" s="30">
        <f>N720*E772</f>
        <v>0</v>
      </c>
      <c r="O772" s="28">
        <f>H772-M772-N772</f>
        <v>8120732.8096038699</v>
      </c>
      <c r="P772" s="31"/>
      <c r="Q772" s="191"/>
      <c r="R772" s="269"/>
    </row>
    <row r="773" spans="1:18" ht="15" customHeight="1" x14ac:dyDescent="0.2">
      <c r="A773" s="269"/>
      <c r="B773" s="190"/>
      <c r="C773" s="63"/>
      <c r="D773" s="262" t="s">
        <v>57</v>
      </c>
      <c r="E773" s="16">
        <v>0.13</v>
      </c>
      <c r="F773" s="24">
        <v>0</v>
      </c>
      <c r="G773" s="30">
        <v>1</v>
      </c>
      <c r="H773" s="28">
        <f>E773*F773*G773</f>
        <v>0</v>
      </c>
      <c r="I773" s="159">
        <v>0</v>
      </c>
      <c r="J773" s="159">
        <f>H773+I773</f>
        <v>0</v>
      </c>
      <c r="K773" s="191"/>
      <c r="L773" s="190"/>
      <c r="M773" s="28"/>
      <c r="N773" s="30"/>
      <c r="O773" s="28">
        <f>J773</f>
        <v>0</v>
      </c>
      <c r="P773" s="31"/>
      <c r="Q773" s="191"/>
      <c r="R773" s="269"/>
    </row>
    <row r="774" spans="1:18" ht="15" customHeight="1" x14ac:dyDescent="0.2">
      <c r="A774" s="269"/>
      <c r="B774" s="190"/>
      <c r="C774" s="63"/>
      <c r="D774" s="263" t="s">
        <v>9</v>
      </c>
      <c r="E774" s="16">
        <v>0.15</v>
      </c>
      <c r="F774" s="24">
        <f>+J767</f>
        <v>2314620</v>
      </c>
      <c r="G774" s="30">
        <v>1</v>
      </c>
      <c r="H774" s="28">
        <f>E774*F774*G774</f>
        <v>347193</v>
      </c>
      <c r="I774" s="159">
        <v>0</v>
      </c>
      <c r="J774" s="159">
        <f>H774+I774</f>
        <v>347193</v>
      </c>
      <c r="K774" s="191"/>
      <c r="L774" s="190"/>
      <c r="M774" s="28"/>
      <c r="N774" s="30">
        <f>H774</f>
        <v>347193</v>
      </c>
      <c r="O774" s="28"/>
      <c r="P774" s="31"/>
      <c r="Q774" s="191"/>
      <c r="R774" s="269"/>
    </row>
    <row r="775" spans="1:18" s="51" customFormat="1" ht="15" customHeight="1" x14ac:dyDescent="0.2">
      <c r="A775" s="273"/>
      <c r="B775" s="192"/>
      <c r="C775" s="140">
        <f>SUM(C771:C774)</f>
        <v>0</v>
      </c>
      <c r="D775" s="139"/>
      <c r="E775" s="102"/>
      <c r="F775" s="532" t="s">
        <v>44</v>
      </c>
      <c r="G775" s="533" t="s">
        <v>95</v>
      </c>
      <c r="H775" s="332">
        <f>SUM(H771:H774)</f>
        <v>12077907.50652387</v>
      </c>
      <c r="I775" s="328">
        <f>SUM(I771:I774)</f>
        <v>0</v>
      </c>
      <c r="J775" s="328">
        <f>SUM(J771:J774)</f>
        <v>12077907.50652387</v>
      </c>
      <c r="K775" s="282"/>
      <c r="L775" s="281"/>
      <c r="M775" s="329">
        <f>SUM(M771:M774)</f>
        <v>0</v>
      </c>
      <c r="N775" s="330">
        <f>SUM(N771:N774)</f>
        <v>347193</v>
      </c>
      <c r="O775" s="331">
        <f>SUM(O771:O774)</f>
        <v>8120732.8096038699</v>
      </c>
      <c r="P775" s="333">
        <f>SUM(M775:O775)</f>
        <v>8467925.8096038699</v>
      </c>
      <c r="Q775" s="193"/>
      <c r="R775" s="273"/>
    </row>
    <row r="776" spans="1:18" s="49" customFormat="1" ht="30" customHeight="1" x14ac:dyDescent="0.2">
      <c r="A776" s="269"/>
      <c r="B776" s="184"/>
      <c r="C776" s="65"/>
      <c r="D776" s="6"/>
      <c r="E776" s="7"/>
      <c r="F776" s="8"/>
      <c r="G776" s="8"/>
      <c r="H776" s="9"/>
      <c r="I776" s="50"/>
      <c r="J776" s="50"/>
      <c r="K776" s="185"/>
      <c r="L776" s="184"/>
      <c r="M776" s="54"/>
      <c r="N776" s="54"/>
      <c r="O776" s="54"/>
      <c r="P776" s="55"/>
      <c r="Q776" s="185"/>
      <c r="R776" s="269"/>
    </row>
    <row r="777" spans="1:18" s="51" customFormat="1" ht="15" customHeight="1" x14ac:dyDescent="0.2">
      <c r="A777" s="273"/>
      <c r="B777" s="196"/>
      <c r="C777" s="295">
        <v>7</v>
      </c>
      <c r="D777" s="300" t="s">
        <v>87</v>
      </c>
      <c r="E777" s="323" t="s">
        <v>74</v>
      </c>
      <c r="F777" s="324" t="s">
        <v>38</v>
      </c>
      <c r="G777" s="325" t="s">
        <v>39</v>
      </c>
      <c r="H777" s="321" t="s">
        <v>52</v>
      </c>
      <c r="I777" s="326" t="s">
        <v>55</v>
      </c>
      <c r="J777" s="326" t="s">
        <v>130</v>
      </c>
      <c r="K777" s="197"/>
      <c r="L777" s="196"/>
      <c r="M777" s="327" t="s">
        <v>88</v>
      </c>
      <c r="N777" s="327" t="s">
        <v>25</v>
      </c>
      <c r="O777" s="327" t="s">
        <v>54</v>
      </c>
      <c r="P777" s="322" t="s">
        <v>52</v>
      </c>
      <c r="Q777" s="197"/>
      <c r="R777" s="273"/>
    </row>
    <row r="778" spans="1:18" s="74" customFormat="1" ht="15" customHeight="1" x14ac:dyDescent="0.2">
      <c r="A778" s="276"/>
      <c r="B778" s="202"/>
      <c r="C778" s="72"/>
      <c r="D778" s="261" t="s">
        <v>112</v>
      </c>
      <c r="E778" s="149"/>
      <c r="F778" s="78"/>
      <c r="G778" s="152"/>
      <c r="H778" s="28"/>
      <c r="I778" s="169"/>
      <c r="J778" s="92"/>
      <c r="K778" s="191"/>
      <c r="L778" s="190"/>
      <c r="M778" s="149"/>
      <c r="N778" s="78"/>
      <c r="O778" s="152"/>
      <c r="P778" s="118"/>
      <c r="Q778" s="203"/>
      <c r="R778" s="276"/>
    </row>
    <row r="779" spans="1:18" s="52" customFormat="1" ht="15" customHeight="1" x14ac:dyDescent="0.2">
      <c r="A779" s="269"/>
      <c r="B779" s="184"/>
      <c r="C779" s="63"/>
      <c r="D779" s="75"/>
      <c r="E779" s="90" t="s">
        <v>201</v>
      </c>
      <c r="F779" s="38">
        <v>150000</v>
      </c>
      <c r="G779" s="28">
        <v>1</v>
      </c>
      <c r="H779" s="28">
        <f>G779*F779</f>
        <v>150000</v>
      </c>
      <c r="I779" s="83">
        <f>H779*21%</f>
        <v>31500</v>
      </c>
      <c r="J779" s="83">
        <f>H779+I779</f>
        <v>181500</v>
      </c>
      <c r="K779" s="185"/>
      <c r="L779" s="184"/>
      <c r="M779" s="28"/>
      <c r="N779" s="28"/>
      <c r="O779" s="28"/>
      <c r="P779" s="31"/>
      <c r="Q779" s="185"/>
      <c r="R779" s="269"/>
    </row>
    <row r="780" spans="1:18" s="74" customFormat="1" ht="15" customHeight="1" x14ac:dyDescent="0.2">
      <c r="A780" s="276"/>
      <c r="B780" s="266"/>
      <c r="C780" s="72"/>
      <c r="D780" s="261" t="s">
        <v>203</v>
      </c>
      <c r="E780" s="149"/>
      <c r="F780" s="78"/>
      <c r="G780" s="152"/>
      <c r="H780" s="28"/>
      <c r="I780" s="169"/>
      <c r="J780" s="92"/>
      <c r="K780" s="191"/>
      <c r="L780" s="190"/>
      <c r="M780" s="149"/>
      <c r="N780" s="78"/>
      <c r="O780" s="152"/>
      <c r="P780" s="118"/>
      <c r="Q780" s="267"/>
      <c r="R780" s="276"/>
    </row>
    <row r="781" spans="1:18" s="52" customFormat="1" ht="15" customHeight="1" x14ac:dyDescent="0.2">
      <c r="A781" s="269"/>
      <c r="B781" s="184"/>
      <c r="C781" s="63"/>
      <c r="D781" s="75"/>
      <c r="E781" s="90" t="s">
        <v>201</v>
      </c>
      <c r="F781" s="38">
        <v>85000</v>
      </c>
      <c r="G781" s="28">
        <v>1</v>
      </c>
      <c r="H781" s="28">
        <f>G781*F781</f>
        <v>85000</v>
      </c>
      <c r="I781" s="83">
        <f>H781*21%</f>
        <v>17850</v>
      </c>
      <c r="J781" s="83">
        <f>H781+I781</f>
        <v>102850</v>
      </c>
      <c r="K781" s="185"/>
      <c r="L781" s="184"/>
      <c r="M781" s="28"/>
      <c r="N781" s="28"/>
      <c r="O781" s="28"/>
      <c r="P781" s="31"/>
      <c r="Q781" s="185"/>
      <c r="R781" s="269"/>
    </row>
    <row r="782" spans="1:18" s="74" customFormat="1" ht="15" customHeight="1" x14ac:dyDescent="0.2">
      <c r="A782" s="276"/>
      <c r="B782" s="202"/>
      <c r="C782" s="72"/>
      <c r="D782" s="261" t="s">
        <v>89</v>
      </c>
      <c r="E782" s="149"/>
      <c r="F782" s="78"/>
      <c r="G782" s="152"/>
      <c r="H782" s="28"/>
      <c r="I782" s="169"/>
      <c r="J782" s="92"/>
      <c r="K782" s="191"/>
      <c r="L782" s="190"/>
      <c r="M782" s="149"/>
      <c r="N782" s="78"/>
      <c r="O782" s="152"/>
      <c r="P782" s="118"/>
      <c r="Q782" s="203"/>
      <c r="R782" s="276"/>
    </row>
    <row r="783" spans="1:18" s="52" customFormat="1" ht="15" customHeight="1" x14ac:dyDescent="0.2">
      <c r="A783" s="269"/>
      <c r="B783" s="184"/>
      <c r="C783" s="63"/>
      <c r="D783" s="75"/>
      <c r="E783" s="90" t="s">
        <v>201</v>
      </c>
      <c r="F783" s="38">
        <v>39000</v>
      </c>
      <c r="G783" s="28">
        <v>1</v>
      </c>
      <c r="H783" s="28">
        <f>G783*F783</f>
        <v>39000</v>
      </c>
      <c r="I783" s="83">
        <f>H783*21%</f>
        <v>8190</v>
      </c>
      <c r="J783" s="83">
        <f>H783+I783</f>
        <v>47190</v>
      </c>
      <c r="K783" s="185"/>
      <c r="L783" s="184"/>
      <c r="M783" s="28">
        <f>H783*0.8</f>
        <v>31200</v>
      </c>
      <c r="N783" s="28"/>
      <c r="O783" s="28"/>
      <c r="P783" s="31"/>
      <c r="Q783" s="185"/>
      <c r="R783" s="269"/>
    </row>
    <row r="784" spans="1:18" s="74" customFormat="1" ht="15" customHeight="1" x14ac:dyDescent="0.2">
      <c r="A784" s="276"/>
      <c r="B784" s="202"/>
      <c r="C784" s="72"/>
      <c r="D784" s="261" t="s">
        <v>22</v>
      </c>
      <c r="E784" s="149"/>
      <c r="F784" s="78"/>
      <c r="G784" s="152"/>
      <c r="H784" s="28"/>
      <c r="I784" s="169"/>
      <c r="J784" s="92"/>
      <c r="K784" s="191"/>
      <c r="L784" s="190"/>
      <c r="M784" s="149"/>
      <c r="N784" s="78"/>
      <c r="O784" s="152"/>
      <c r="P784" s="118"/>
      <c r="Q784" s="203"/>
      <c r="R784" s="276"/>
    </row>
    <row r="785" spans="1:18" s="52" customFormat="1" ht="15" customHeight="1" x14ac:dyDescent="0.2">
      <c r="A785" s="269"/>
      <c r="B785" s="184"/>
      <c r="C785" s="63"/>
      <c r="D785" s="1"/>
      <c r="E785" s="90" t="s">
        <v>201</v>
      </c>
      <c r="F785" s="38">
        <v>185000</v>
      </c>
      <c r="G785" s="28">
        <v>1</v>
      </c>
      <c r="H785" s="28">
        <f>+G785*F785</f>
        <v>185000</v>
      </c>
      <c r="I785" s="83">
        <f>H785*21%</f>
        <v>38850</v>
      </c>
      <c r="J785" s="93">
        <f>H785+I785</f>
        <v>223850</v>
      </c>
      <c r="K785" s="185"/>
      <c r="L785" s="184"/>
      <c r="M785" s="28"/>
      <c r="N785" s="28"/>
      <c r="O785" s="28"/>
      <c r="P785" s="31"/>
      <c r="Q785" s="185"/>
      <c r="R785" s="269"/>
    </row>
    <row r="786" spans="1:18" s="74" customFormat="1" ht="15" customHeight="1" x14ac:dyDescent="0.2">
      <c r="A786" s="276"/>
      <c r="B786" s="202"/>
      <c r="C786" s="72"/>
      <c r="D786" s="261" t="s">
        <v>90</v>
      </c>
      <c r="E786" s="149"/>
      <c r="F786" s="78"/>
      <c r="G786" s="152"/>
      <c r="H786" s="28"/>
      <c r="I786" s="169"/>
      <c r="J786" s="92"/>
      <c r="K786" s="191"/>
      <c r="L786" s="190"/>
      <c r="M786" s="149"/>
      <c r="N786" s="78"/>
      <c r="O786" s="152"/>
      <c r="P786" s="118"/>
      <c r="Q786" s="203"/>
      <c r="R786" s="276"/>
    </row>
    <row r="787" spans="1:18" s="52" customFormat="1" ht="15" customHeight="1" x14ac:dyDescent="0.2">
      <c r="A787" s="269"/>
      <c r="B787" s="184"/>
      <c r="C787" s="63"/>
      <c r="D787" s="15" t="s">
        <v>61</v>
      </c>
      <c r="E787" s="90" t="s">
        <v>201</v>
      </c>
      <c r="F787" s="38">
        <v>50000</v>
      </c>
      <c r="G787" s="28">
        <v>1</v>
      </c>
      <c r="H787" s="28">
        <f>F787*G787</f>
        <v>50000</v>
      </c>
      <c r="I787" s="93">
        <f>+H787*21%</f>
        <v>10500</v>
      </c>
      <c r="J787" s="93">
        <f>+I787+H787</f>
        <v>60500</v>
      </c>
      <c r="K787" s="185"/>
      <c r="L787" s="184"/>
      <c r="M787" s="28"/>
      <c r="N787" s="28">
        <f>H787*0.5</f>
        <v>25000</v>
      </c>
      <c r="O787" s="28">
        <v>0</v>
      </c>
      <c r="P787" s="31"/>
      <c r="Q787" s="185"/>
      <c r="R787" s="269"/>
    </row>
    <row r="788" spans="1:18" s="74" customFormat="1" ht="15" customHeight="1" x14ac:dyDescent="0.2">
      <c r="A788" s="276"/>
      <c r="B788" s="202"/>
      <c r="C788" s="72"/>
      <c r="D788" s="261" t="s">
        <v>66</v>
      </c>
      <c r="E788" s="149"/>
      <c r="F788" s="78"/>
      <c r="G788" s="152"/>
      <c r="H788" s="28"/>
      <c r="I788" s="169"/>
      <c r="J788" s="92"/>
      <c r="K788" s="191"/>
      <c r="L788" s="190"/>
      <c r="M788" s="149"/>
      <c r="N788" s="78"/>
      <c r="O788" s="152"/>
      <c r="P788" s="118"/>
      <c r="Q788" s="203"/>
      <c r="R788" s="276"/>
    </row>
    <row r="789" spans="1:18" s="52" customFormat="1" ht="15" customHeight="1" x14ac:dyDescent="0.2">
      <c r="A789" s="269"/>
      <c r="B789" s="184"/>
      <c r="C789" s="63"/>
      <c r="D789" s="1" t="s">
        <v>58</v>
      </c>
      <c r="E789" s="10" t="s">
        <v>21</v>
      </c>
      <c r="F789" s="38">
        <v>0</v>
      </c>
      <c r="G789" s="28">
        <v>1</v>
      </c>
      <c r="H789" s="28">
        <f>F789*G789</f>
        <v>0</v>
      </c>
      <c r="I789" s="83">
        <f>H789*21%</f>
        <v>0</v>
      </c>
      <c r="J789" s="83">
        <f>H789+I789</f>
        <v>0</v>
      </c>
      <c r="K789" s="185"/>
      <c r="L789" s="184"/>
      <c r="M789" s="28"/>
      <c r="N789" s="28"/>
      <c r="O789" s="28"/>
      <c r="P789" s="31"/>
      <c r="Q789" s="185"/>
      <c r="R789" s="269"/>
    </row>
    <row r="790" spans="1:18" s="52" customFormat="1" ht="15" customHeight="1" x14ac:dyDescent="0.2">
      <c r="A790" s="269"/>
      <c r="B790" s="184"/>
      <c r="C790" s="63"/>
      <c r="D790" s="96" t="s">
        <v>116</v>
      </c>
      <c r="E790" s="90" t="s">
        <v>117</v>
      </c>
      <c r="F790" s="38">
        <v>150000</v>
      </c>
      <c r="G790" s="28">
        <v>1</v>
      </c>
      <c r="H790" s="28">
        <f>G790*F790</f>
        <v>150000</v>
      </c>
      <c r="I790" s="83">
        <f>H790*21%</f>
        <v>31500</v>
      </c>
      <c r="J790" s="83">
        <f>H790+I790</f>
        <v>181500</v>
      </c>
      <c r="K790" s="185"/>
      <c r="L790" s="184"/>
      <c r="M790" s="28">
        <f>H790*0.8</f>
        <v>120000</v>
      </c>
      <c r="N790" s="28">
        <f>H790*0.2</f>
        <v>30000</v>
      </c>
      <c r="O790" s="28"/>
      <c r="P790" s="31"/>
      <c r="Q790" s="185"/>
      <c r="R790" s="269"/>
    </row>
    <row r="791" spans="1:18" s="51" customFormat="1" ht="15" customHeight="1" x14ac:dyDescent="0.2">
      <c r="A791" s="273"/>
      <c r="B791" s="192"/>
      <c r="C791" s="140">
        <f>SUM(C778:C790)</f>
        <v>0</v>
      </c>
      <c r="D791" s="139"/>
      <c r="E791" s="102"/>
      <c r="F791" s="532" t="s">
        <v>76</v>
      </c>
      <c r="G791" s="533"/>
      <c r="H791" s="332">
        <f>SUM(H779:H790)</f>
        <v>659000</v>
      </c>
      <c r="I791" s="328">
        <f>SUM(I779:I790)</f>
        <v>138390</v>
      </c>
      <c r="J791" s="328">
        <f>SUM(J779:J790)</f>
        <v>797390</v>
      </c>
      <c r="K791" s="282"/>
      <c r="L791" s="281"/>
      <c r="M791" s="329">
        <f>SUM(M778:M790)</f>
        <v>151200</v>
      </c>
      <c r="N791" s="330">
        <f>SUM(N779:N790)</f>
        <v>55000</v>
      </c>
      <c r="O791" s="331">
        <f>SUM(O776:O790)</f>
        <v>0</v>
      </c>
      <c r="P791" s="333">
        <f>SUM(M791:O791)</f>
        <v>206200</v>
      </c>
      <c r="Q791" s="193"/>
      <c r="R791" s="273"/>
    </row>
    <row r="792" spans="1:18" s="49" customFormat="1" ht="30" customHeight="1" x14ac:dyDescent="0.2">
      <c r="A792" s="269"/>
      <c r="B792" s="184"/>
      <c r="C792" s="65"/>
      <c r="D792" s="6"/>
      <c r="E792" s="7"/>
      <c r="F792" s="8"/>
      <c r="G792" s="8"/>
      <c r="H792" s="9"/>
      <c r="I792" s="50"/>
      <c r="J792" s="50"/>
      <c r="K792" s="185"/>
      <c r="L792" s="184"/>
      <c r="M792" s="54"/>
      <c r="N792" s="54"/>
      <c r="O792" s="54"/>
      <c r="P792" s="55"/>
      <c r="Q792" s="185"/>
      <c r="R792" s="269"/>
    </row>
    <row r="793" spans="1:18" s="51" customFormat="1" ht="15" customHeight="1" x14ac:dyDescent="0.2">
      <c r="A793" s="273"/>
      <c r="B793" s="196"/>
      <c r="C793" s="295">
        <v>8</v>
      </c>
      <c r="D793" s="300" t="s">
        <v>94</v>
      </c>
      <c r="E793" s="323" t="s">
        <v>74</v>
      </c>
      <c r="F793" s="324" t="s">
        <v>38</v>
      </c>
      <c r="G793" s="325" t="s">
        <v>39</v>
      </c>
      <c r="H793" s="321" t="s">
        <v>52</v>
      </c>
      <c r="I793" s="326" t="s">
        <v>55</v>
      </c>
      <c r="J793" s="326" t="s">
        <v>130</v>
      </c>
      <c r="K793" s="197"/>
      <c r="L793" s="196"/>
      <c r="M793" s="327" t="s">
        <v>88</v>
      </c>
      <c r="N793" s="327" t="s">
        <v>25</v>
      </c>
      <c r="O793" s="327" t="s">
        <v>54</v>
      </c>
      <c r="P793" s="322" t="s">
        <v>52</v>
      </c>
      <c r="Q793" s="197"/>
      <c r="R793" s="273"/>
    </row>
    <row r="794" spans="1:18" s="52" customFormat="1" ht="15" customHeight="1" x14ac:dyDescent="0.2">
      <c r="A794" s="269"/>
      <c r="B794" s="184"/>
      <c r="C794" s="64"/>
      <c r="D794" s="258" t="s">
        <v>49</v>
      </c>
      <c r="E794" s="90" t="s">
        <v>201</v>
      </c>
      <c r="F794" s="38">
        <v>90000</v>
      </c>
      <c r="G794" s="28">
        <v>1</v>
      </c>
      <c r="H794" s="28">
        <f>G794*F794</f>
        <v>90000</v>
      </c>
      <c r="I794" s="83">
        <f>H794*21%</f>
        <v>18900</v>
      </c>
      <c r="J794" s="83">
        <f>H794+I794</f>
        <v>108900</v>
      </c>
      <c r="K794" s="185"/>
      <c r="L794" s="184"/>
      <c r="M794" s="28"/>
      <c r="N794" s="28">
        <v>0</v>
      </c>
      <c r="O794" s="28"/>
      <c r="P794" s="31"/>
      <c r="Q794" s="185"/>
      <c r="R794" s="269"/>
    </row>
    <row r="795" spans="1:18" s="52" customFormat="1" ht="15" customHeight="1" x14ac:dyDescent="0.2">
      <c r="A795" s="269"/>
      <c r="B795" s="184"/>
      <c r="C795" s="64"/>
      <c r="D795" s="258" t="s">
        <v>23</v>
      </c>
      <c r="E795" s="90" t="s">
        <v>117</v>
      </c>
      <c r="F795" s="38">
        <v>0</v>
      </c>
      <c r="G795" s="28">
        <v>1</v>
      </c>
      <c r="H795" s="28">
        <f>G795*F795</f>
        <v>0</v>
      </c>
      <c r="I795" s="83">
        <v>0</v>
      </c>
      <c r="J795" s="83">
        <f>H795+I795</f>
        <v>0</v>
      </c>
      <c r="K795" s="185"/>
      <c r="L795" s="184"/>
      <c r="M795" s="28"/>
      <c r="N795" s="28"/>
      <c r="O795" s="28"/>
      <c r="P795" s="31"/>
      <c r="Q795" s="185"/>
      <c r="R795" s="269"/>
    </row>
    <row r="796" spans="1:18" s="74" customFormat="1" ht="15" customHeight="1" x14ac:dyDescent="0.2">
      <c r="A796" s="276"/>
      <c r="B796" s="202"/>
      <c r="C796" s="72"/>
      <c r="D796" s="261" t="s">
        <v>245</v>
      </c>
      <c r="E796" s="149"/>
      <c r="F796" s="78"/>
      <c r="G796" s="152"/>
      <c r="H796" s="28"/>
      <c r="I796" s="169"/>
      <c r="J796" s="92"/>
      <c r="K796" s="191"/>
      <c r="L796" s="190"/>
      <c r="M796" s="149"/>
      <c r="N796" s="78"/>
      <c r="O796" s="152"/>
      <c r="P796" s="118"/>
      <c r="Q796" s="203"/>
      <c r="R796" s="276"/>
    </row>
    <row r="797" spans="1:18" s="52" customFormat="1" ht="15" x14ac:dyDescent="0.2">
      <c r="A797" s="269"/>
      <c r="B797" s="184"/>
      <c r="C797" s="64"/>
      <c r="D797" s="75" t="s">
        <v>246</v>
      </c>
      <c r="E797" s="77" t="s">
        <v>248</v>
      </c>
      <c r="F797" s="38">
        <v>15000</v>
      </c>
      <c r="G797" s="28">
        <v>4</v>
      </c>
      <c r="H797" s="28">
        <f>+G797*F797</f>
        <v>60000</v>
      </c>
      <c r="I797" s="83">
        <f>+H797*21%</f>
        <v>12600</v>
      </c>
      <c r="J797" s="83">
        <f>H797+I797</f>
        <v>72600</v>
      </c>
      <c r="K797" s="185"/>
      <c r="L797" s="184"/>
      <c r="M797" s="28"/>
      <c r="N797" s="28">
        <f>H797</f>
        <v>60000</v>
      </c>
      <c r="O797" s="28"/>
      <c r="P797" s="31"/>
      <c r="Q797" s="185"/>
      <c r="R797" s="269"/>
    </row>
    <row r="798" spans="1:18" s="52" customFormat="1" ht="15" x14ac:dyDescent="0.2">
      <c r="A798" s="269"/>
      <c r="B798" s="184"/>
      <c r="C798" s="64"/>
      <c r="D798" s="75" t="s">
        <v>247</v>
      </c>
      <c r="E798" s="77" t="s">
        <v>248</v>
      </c>
      <c r="F798" s="38">
        <v>15000</v>
      </c>
      <c r="G798" s="28">
        <v>4</v>
      </c>
      <c r="H798" s="28">
        <f>+G798*F798</f>
        <v>60000</v>
      </c>
      <c r="I798" s="83">
        <f>+H798*21%</f>
        <v>12600</v>
      </c>
      <c r="J798" s="83">
        <f>H798+I798</f>
        <v>72600</v>
      </c>
      <c r="K798" s="185"/>
      <c r="L798" s="184"/>
      <c r="M798" s="28"/>
      <c r="N798" s="28">
        <f>H798</f>
        <v>60000</v>
      </c>
      <c r="O798" s="28"/>
      <c r="P798" s="31"/>
      <c r="Q798" s="185"/>
      <c r="R798" s="269"/>
    </row>
    <row r="799" spans="1:18" s="52" customFormat="1" ht="15" customHeight="1" x14ac:dyDescent="0.2">
      <c r="A799" s="269"/>
      <c r="B799" s="184"/>
      <c r="C799" s="64"/>
      <c r="D799" s="258" t="s">
        <v>128</v>
      </c>
      <c r="E799" s="18" t="s">
        <v>40</v>
      </c>
      <c r="F799" s="38">
        <v>0</v>
      </c>
      <c r="G799" s="28">
        <v>0</v>
      </c>
      <c r="H799" s="28">
        <f>G799*F799</f>
        <v>0</v>
      </c>
      <c r="I799" s="83">
        <f>+H799*21%</f>
        <v>0</v>
      </c>
      <c r="J799" s="83">
        <f>H799+I799</f>
        <v>0</v>
      </c>
      <c r="K799" s="185"/>
      <c r="L799" s="184"/>
      <c r="M799" s="28"/>
      <c r="N799" s="28">
        <f>J799</f>
        <v>0</v>
      </c>
      <c r="O799" s="28"/>
      <c r="P799" s="31"/>
      <c r="Q799" s="185"/>
      <c r="R799" s="269"/>
    </row>
    <row r="800" spans="1:18" s="51" customFormat="1" ht="15" customHeight="1" x14ac:dyDescent="0.2">
      <c r="A800" s="273"/>
      <c r="B800" s="192"/>
      <c r="C800" s="140">
        <f>SUM(C794:C799)</f>
        <v>0</v>
      </c>
      <c r="D800" s="139"/>
      <c r="E800" s="102"/>
      <c r="F800" s="532" t="s">
        <v>101</v>
      </c>
      <c r="G800" s="533"/>
      <c r="H800" s="332">
        <f>SUM(H794:H799)</f>
        <v>210000</v>
      </c>
      <c r="I800" s="328">
        <f>SUM(I794:I799)</f>
        <v>44100</v>
      </c>
      <c r="J800" s="328">
        <f>SUM(J794:J799)</f>
        <v>254100</v>
      </c>
      <c r="K800" s="282"/>
      <c r="L800" s="281"/>
      <c r="M800" s="329">
        <f>SUM(M794:M799)</f>
        <v>0</v>
      </c>
      <c r="N800" s="330">
        <f>SUM(N794:N799)</f>
        <v>120000</v>
      </c>
      <c r="O800" s="331">
        <f>SUM(O794:O799)</f>
        <v>0</v>
      </c>
      <c r="P800" s="333">
        <f>SUM(M800:O800)</f>
        <v>120000</v>
      </c>
      <c r="Q800" s="193"/>
      <c r="R800" s="273"/>
    </row>
    <row r="801" spans="1:18" s="49" customFormat="1" ht="30" customHeight="1" x14ac:dyDescent="0.2">
      <c r="A801" s="269"/>
      <c r="B801" s="184"/>
      <c r="C801" s="65"/>
      <c r="D801" s="6"/>
      <c r="E801" s="7"/>
      <c r="F801" s="8"/>
      <c r="G801" s="8"/>
      <c r="H801" s="9"/>
      <c r="I801" s="50"/>
      <c r="J801" s="50"/>
      <c r="K801" s="185"/>
      <c r="L801" s="184"/>
      <c r="M801" s="54"/>
      <c r="N801" s="54"/>
      <c r="O801" s="54"/>
      <c r="P801" s="55"/>
      <c r="Q801" s="185"/>
      <c r="R801" s="269"/>
    </row>
    <row r="802" spans="1:18" s="51" customFormat="1" ht="15" customHeight="1" x14ac:dyDescent="0.2">
      <c r="A802" s="273"/>
      <c r="B802" s="196"/>
      <c r="C802" s="295">
        <v>9</v>
      </c>
      <c r="D802" s="300" t="s">
        <v>200</v>
      </c>
      <c r="E802" s="323" t="s">
        <v>74</v>
      </c>
      <c r="F802" s="324" t="s">
        <v>38</v>
      </c>
      <c r="G802" s="325" t="s">
        <v>39</v>
      </c>
      <c r="H802" s="321" t="s">
        <v>52</v>
      </c>
      <c r="I802" s="326" t="s">
        <v>55</v>
      </c>
      <c r="J802" s="326" t="s">
        <v>130</v>
      </c>
      <c r="K802" s="197"/>
      <c r="L802" s="196"/>
      <c r="M802" s="327" t="s">
        <v>88</v>
      </c>
      <c r="N802" s="327" t="s">
        <v>25</v>
      </c>
      <c r="O802" s="327" t="s">
        <v>54</v>
      </c>
      <c r="P802" s="322" t="s">
        <v>52</v>
      </c>
      <c r="Q802" s="197"/>
      <c r="R802" s="273"/>
    </row>
    <row r="803" spans="1:18" s="52" customFormat="1" ht="15" customHeight="1" x14ac:dyDescent="0.2">
      <c r="A803" s="269"/>
      <c r="B803" s="184"/>
      <c r="C803" s="64"/>
      <c r="D803" s="258" t="s">
        <v>206</v>
      </c>
      <c r="E803" s="90" t="s">
        <v>202</v>
      </c>
      <c r="F803" s="38">
        <v>2000</v>
      </c>
      <c r="G803" s="28">
        <v>60</v>
      </c>
      <c r="H803" s="28">
        <f>F803*G803</f>
        <v>120000</v>
      </c>
      <c r="I803" s="83">
        <f>H803*21%</f>
        <v>25200</v>
      </c>
      <c r="J803" s="83">
        <f>H803+I803</f>
        <v>145200</v>
      </c>
      <c r="K803" s="185"/>
      <c r="L803" s="184"/>
      <c r="M803" s="28"/>
      <c r="N803" s="28"/>
      <c r="O803" s="28"/>
      <c r="P803" s="31"/>
      <c r="Q803" s="185"/>
      <c r="R803" s="269"/>
    </row>
    <row r="804" spans="1:18" s="52" customFormat="1" ht="15" customHeight="1" x14ac:dyDescent="0.2">
      <c r="A804" s="269"/>
      <c r="B804" s="184"/>
      <c r="C804" s="64"/>
      <c r="D804" s="258" t="s">
        <v>22</v>
      </c>
      <c r="E804" s="90" t="s">
        <v>202</v>
      </c>
      <c r="F804" s="38">
        <v>2000</v>
      </c>
      <c r="G804" s="28">
        <v>60</v>
      </c>
      <c r="H804" s="28">
        <f>F804*G804</f>
        <v>120000</v>
      </c>
      <c r="I804" s="83">
        <f>H804*21%</f>
        <v>25200</v>
      </c>
      <c r="J804" s="83">
        <f>H804+I804</f>
        <v>145200</v>
      </c>
      <c r="K804" s="185"/>
      <c r="L804" s="184"/>
      <c r="M804" s="28"/>
      <c r="N804" s="28"/>
      <c r="O804" s="28"/>
      <c r="P804" s="31"/>
      <c r="Q804" s="185"/>
      <c r="R804" s="269"/>
    </row>
    <row r="805" spans="1:18" s="52" customFormat="1" ht="15" customHeight="1" x14ac:dyDescent="0.2">
      <c r="A805" s="269"/>
      <c r="B805" s="352"/>
      <c r="C805" s="64"/>
      <c r="D805" s="259" t="s">
        <v>207</v>
      </c>
      <c r="E805" s="90" t="s">
        <v>202</v>
      </c>
      <c r="F805" s="38">
        <v>2000</v>
      </c>
      <c r="G805" s="28">
        <v>60</v>
      </c>
      <c r="H805" s="28">
        <f>F805*G805</f>
        <v>120000</v>
      </c>
      <c r="I805" s="83">
        <f>H805*21%</f>
        <v>25200</v>
      </c>
      <c r="J805" s="83">
        <f>H805+I805</f>
        <v>145200</v>
      </c>
      <c r="K805" s="353"/>
      <c r="L805" s="352"/>
      <c r="M805" s="354"/>
      <c r="N805" s="28"/>
      <c r="O805" s="37"/>
      <c r="P805" s="31"/>
      <c r="Q805" s="353"/>
      <c r="R805" s="269"/>
    </row>
    <row r="806" spans="1:18" s="52" customFormat="1" ht="15" customHeight="1" x14ac:dyDescent="0.2">
      <c r="A806" s="269"/>
      <c r="B806" s="184"/>
      <c r="C806" s="64"/>
      <c r="D806" s="258" t="s">
        <v>349</v>
      </c>
      <c r="E806" s="90" t="s">
        <v>205</v>
      </c>
      <c r="F806" s="38">
        <v>3000</v>
      </c>
      <c r="G806" s="28">
        <v>16</v>
      </c>
      <c r="H806" s="28">
        <f>F806*G806</f>
        <v>48000</v>
      </c>
      <c r="I806" s="83"/>
      <c r="J806" s="83">
        <f>H806+I806</f>
        <v>48000</v>
      </c>
      <c r="K806" s="185"/>
      <c r="L806" s="184"/>
      <c r="M806" s="28">
        <f>H806*0.8</f>
        <v>38400</v>
      </c>
      <c r="N806" s="28">
        <f>H806*0.2</f>
        <v>9600</v>
      </c>
      <c r="O806" s="28"/>
      <c r="P806" s="31"/>
      <c r="Q806" s="185"/>
      <c r="R806" s="269"/>
    </row>
    <row r="807" spans="1:18" s="51" customFormat="1" ht="15" customHeight="1" x14ac:dyDescent="0.2">
      <c r="A807" s="273"/>
      <c r="B807" s="192"/>
      <c r="C807" s="140">
        <f>SUM(C803:C804)</f>
        <v>0</v>
      </c>
      <c r="D807" s="139"/>
      <c r="E807" s="102"/>
      <c r="F807" s="536" t="s">
        <v>48</v>
      </c>
      <c r="G807" s="537"/>
      <c r="H807" s="357">
        <f>SUM(H803:H806)</f>
        <v>408000</v>
      </c>
      <c r="I807" s="358">
        <f>SUM(I803:I806)</f>
        <v>75600</v>
      </c>
      <c r="J807" s="358">
        <f>SUM(J803:J806)</f>
        <v>483600</v>
      </c>
      <c r="K807" s="282"/>
      <c r="L807" s="281"/>
      <c r="M807" s="329">
        <f>SUM(M803:M804)</f>
        <v>0</v>
      </c>
      <c r="N807" s="330">
        <f>SUM(N803:N804)</f>
        <v>0</v>
      </c>
      <c r="O807" s="331">
        <f>SUM(O803:O804)</f>
        <v>0</v>
      </c>
      <c r="P807" s="333">
        <f>SUM(M807:O807)</f>
        <v>0</v>
      </c>
      <c r="Q807" s="193"/>
      <c r="R807" s="273"/>
    </row>
    <row r="808" spans="1:18" s="49" customFormat="1" ht="30" customHeight="1" x14ac:dyDescent="0.2">
      <c r="A808" s="269"/>
      <c r="B808" s="184"/>
      <c r="C808" s="65"/>
      <c r="D808" s="6"/>
      <c r="E808" s="7"/>
      <c r="F808" s="8"/>
      <c r="G808" s="8"/>
      <c r="H808" s="9"/>
      <c r="I808" s="50"/>
      <c r="J808" s="50"/>
      <c r="K808" s="185"/>
      <c r="L808" s="184"/>
      <c r="M808" s="54"/>
      <c r="N808" s="54"/>
      <c r="O808" s="54"/>
      <c r="P808" s="55"/>
      <c r="Q808" s="185"/>
      <c r="R808" s="269"/>
    </row>
    <row r="809" spans="1:18" s="51" customFormat="1" ht="15" customHeight="1" x14ac:dyDescent="0.2">
      <c r="A809" s="273"/>
      <c r="B809" s="196"/>
      <c r="C809" s="295">
        <v>10</v>
      </c>
      <c r="D809" s="300" t="s">
        <v>42</v>
      </c>
      <c r="E809" s="323" t="s">
        <v>74</v>
      </c>
      <c r="F809" s="324" t="s">
        <v>38</v>
      </c>
      <c r="G809" s="325" t="s">
        <v>39</v>
      </c>
      <c r="H809" s="321" t="s">
        <v>52</v>
      </c>
      <c r="I809" s="326" t="s">
        <v>55</v>
      </c>
      <c r="J809" s="326" t="s">
        <v>130</v>
      </c>
      <c r="K809" s="197"/>
      <c r="L809" s="196"/>
      <c r="M809" s="327" t="s">
        <v>88</v>
      </c>
      <c r="N809" s="327" t="s">
        <v>25</v>
      </c>
      <c r="O809" s="327" t="s">
        <v>54</v>
      </c>
      <c r="P809" s="322" t="s">
        <v>52</v>
      </c>
      <c r="Q809" s="197"/>
      <c r="R809" s="273"/>
    </row>
    <row r="810" spans="1:18" s="52" customFormat="1" ht="15.95" customHeight="1" x14ac:dyDescent="0.2">
      <c r="A810" s="269"/>
      <c r="B810" s="184"/>
      <c r="C810" s="64"/>
      <c r="D810" s="260" t="s">
        <v>250</v>
      </c>
      <c r="E810" s="398"/>
      <c r="F810" s="399"/>
      <c r="G810" s="82"/>
      <c r="H810" s="82"/>
      <c r="I810" s="228"/>
      <c r="J810" s="229"/>
      <c r="K810" s="185"/>
      <c r="L810" s="184"/>
      <c r="M810" s="28"/>
      <c r="N810" s="28"/>
      <c r="O810" s="28"/>
      <c r="P810" s="31"/>
      <c r="Q810" s="185"/>
      <c r="R810" s="269"/>
    </row>
    <row r="811" spans="1:18" s="52" customFormat="1" ht="15.95" customHeight="1" x14ac:dyDescent="0.2">
      <c r="A811" s="269"/>
      <c r="B811" s="396"/>
      <c r="C811" s="64"/>
      <c r="D811" s="363" t="s">
        <v>251</v>
      </c>
      <c r="E811" s="400"/>
      <c r="F811" s="401"/>
      <c r="G811" s="110"/>
      <c r="H811" s="110"/>
      <c r="I811" s="123"/>
      <c r="J811" s="114"/>
      <c r="K811" s="397"/>
      <c r="L811" s="396"/>
      <c r="M811" s="28"/>
      <c r="N811" s="28"/>
      <c r="O811" s="28"/>
      <c r="P811" s="31"/>
      <c r="Q811" s="397"/>
      <c r="R811" s="269"/>
    </row>
    <row r="812" spans="1:18" s="52" customFormat="1" ht="15.95" customHeight="1" x14ac:dyDescent="0.2">
      <c r="A812" s="269"/>
      <c r="B812" s="396"/>
      <c r="C812" s="64"/>
      <c r="D812" s="376"/>
      <c r="E812" s="90" t="s">
        <v>252</v>
      </c>
      <c r="F812" s="38">
        <v>5000</v>
      </c>
      <c r="G812" s="28">
        <v>1000</v>
      </c>
      <c r="H812" s="28">
        <f>F812*G812</f>
        <v>5000000</v>
      </c>
      <c r="I812" s="83">
        <f>H812*21%</f>
        <v>1050000</v>
      </c>
      <c r="J812" s="83">
        <f>H812+I812</f>
        <v>6050000</v>
      </c>
      <c r="K812" s="397"/>
      <c r="L812" s="396"/>
      <c r="M812" s="28"/>
      <c r="N812" s="28"/>
      <c r="O812" s="28"/>
      <c r="P812" s="31"/>
      <c r="Q812" s="397"/>
      <c r="R812" s="269"/>
    </row>
    <row r="813" spans="1:18" s="52" customFormat="1" ht="15" customHeight="1" x14ac:dyDescent="0.2">
      <c r="A813" s="269"/>
      <c r="B813" s="184"/>
      <c r="C813" s="64"/>
      <c r="D813" s="258" t="s">
        <v>253</v>
      </c>
      <c r="E813" s="90" t="s">
        <v>202</v>
      </c>
      <c r="F813" s="38">
        <v>25000</v>
      </c>
      <c r="G813" s="28">
        <v>60</v>
      </c>
      <c r="H813" s="28">
        <f>F813*G813</f>
        <v>1500000</v>
      </c>
      <c r="I813" s="83">
        <f>H813*21%</f>
        <v>315000</v>
      </c>
      <c r="J813" s="83">
        <f>H813+I813</f>
        <v>1815000</v>
      </c>
      <c r="K813" s="185"/>
      <c r="L813" s="184"/>
      <c r="M813" s="28">
        <f>H813*0.8</f>
        <v>1200000</v>
      </c>
      <c r="N813" s="28">
        <f>H813*0.2</f>
        <v>300000</v>
      </c>
      <c r="O813" s="28"/>
      <c r="P813" s="31"/>
      <c r="Q813" s="185"/>
      <c r="R813" s="269"/>
    </row>
    <row r="814" spans="1:18" s="51" customFormat="1" ht="15" customHeight="1" x14ac:dyDescent="0.2">
      <c r="A814" s="273"/>
      <c r="B814" s="192"/>
      <c r="C814" s="140">
        <f>SUM(C810:C813)</f>
        <v>0</v>
      </c>
      <c r="D814" s="139"/>
      <c r="E814" s="102"/>
      <c r="F814" s="532" t="s">
        <v>59</v>
      </c>
      <c r="G814" s="533"/>
      <c r="H814" s="332">
        <f>SUM(H812:H813)</f>
        <v>6500000</v>
      </c>
      <c r="I814" s="328">
        <f>SUM(I812:I813)</f>
        <v>1365000</v>
      </c>
      <c r="J814" s="328">
        <f>SUM(J812:J813)</f>
        <v>7865000</v>
      </c>
      <c r="K814" s="282"/>
      <c r="L814" s="281"/>
      <c r="M814" s="329">
        <f>SUM(M810:M813)</f>
        <v>1200000</v>
      </c>
      <c r="N814" s="330">
        <f>SUM(N810:N813)</f>
        <v>300000</v>
      </c>
      <c r="O814" s="331">
        <f>SUM(O810:O813)</f>
        <v>0</v>
      </c>
      <c r="P814" s="333">
        <f>SUM(M814:O814)</f>
        <v>1500000</v>
      </c>
      <c r="Q814" s="193"/>
      <c r="R814" s="273"/>
    </row>
    <row r="815" spans="1:18" s="49" customFormat="1" ht="30" customHeight="1" x14ac:dyDescent="0.2">
      <c r="A815" s="269"/>
      <c r="B815" s="184"/>
      <c r="C815" s="65"/>
      <c r="D815" s="6"/>
      <c r="E815" s="7"/>
      <c r="F815" s="8"/>
      <c r="G815" s="8"/>
      <c r="H815" s="9"/>
      <c r="I815" s="50"/>
      <c r="J815" s="50"/>
      <c r="K815" s="185"/>
      <c r="L815" s="184"/>
      <c r="M815" s="54"/>
      <c r="N815" s="54"/>
      <c r="O815" s="54"/>
      <c r="P815" s="55"/>
      <c r="Q815" s="185"/>
      <c r="R815" s="269"/>
    </row>
    <row r="816" spans="1:18" s="51" customFormat="1" ht="15" customHeight="1" x14ac:dyDescent="0.2">
      <c r="A816" s="273"/>
      <c r="B816" s="196"/>
      <c r="C816" s="295">
        <v>11</v>
      </c>
      <c r="D816" s="300" t="s">
        <v>75</v>
      </c>
      <c r="E816" s="323" t="s">
        <v>74</v>
      </c>
      <c r="F816" s="324" t="s">
        <v>38</v>
      </c>
      <c r="G816" s="325" t="s">
        <v>39</v>
      </c>
      <c r="H816" s="321" t="s">
        <v>52</v>
      </c>
      <c r="I816" s="326" t="s">
        <v>55</v>
      </c>
      <c r="J816" s="326" t="s">
        <v>130</v>
      </c>
      <c r="K816" s="197"/>
      <c r="L816" s="196"/>
      <c r="M816" s="327" t="s">
        <v>88</v>
      </c>
      <c r="N816" s="327" t="s">
        <v>25</v>
      </c>
      <c r="O816" s="327" t="s">
        <v>54</v>
      </c>
      <c r="P816" s="322" t="s">
        <v>52</v>
      </c>
      <c r="Q816" s="197"/>
      <c r="R816" s="273"/>
    </row>
    <row r="817" spans="1:18" s="74" customFormat="1" ht="15" customHeight="1" x14ac:dyDescent="0.2">
      <c r="A817" s="276"/>
      <c r="B817" s="202"/>
      <c r="C817" s="13"/>
      <c r="D817" s="261" t="s">
        <v>208</v>
      </c>
      <c r="E817" s="150"/>
      <c r="F817" s="97"/>
      <c r="G817" s="97"/>
      <c r="H817" s="157"/>
      <c r="I817" s="162"/>
      <c r="J817" s="151"/>
      <c r="K817" s="203"/>
      <c r="L817" s="202"/>
      <c r="M817" s="106"/>
      <c r="N817" s="107"/>
      <c r="O817" s="154"/>
      <c r="P817" s="144"/>
      <c r="Q817" s="203"/>
      <c r="R817" s="276"/>
    </row>
    <row r="818" spans="1:18" ht="15" customHeight="1" x14ac:dyDescent="0.2">
      <c r="A818" s="269"/>
      <c r="B818" s="184"/>
      <c r="C818" s="64"/>
      <c r="D818" s="75" t="s">
        <v>254</v>
      </c>
      <c r="E818" s="90">
        <v>1</v>
      </c>
      <c r="F818" s="28">
        <v>40000</v>
      </c>
      <c r="G818" s="28">
        <v>10</v>
      </c>
      <c r="H818" s="28">
        <f>+F818*E818*G818</f>
        <v>400000</v>
      </c>
      <c r="I818" s="164"/>
      <c r="J818" s="79"/>
      <c r="K818" s="185"/>
      <c r="L818" s="184"/>
      <c r="M818" s="108"/>
      <c r="N818" s="34"/>
      <c r="O818" s="105"/>
      <c r="P818" s="105"/>
      <c r="Q818" s="185"/>
      <c r="R818" s="269"/>
    </row>
    <row r="819" spans="1:18" ht="15" customHeight="1" x14ac:dyDescent="0.2">
      <c r="A819" s="269"/>
      <c r="B819" s="184"/>
      <c r="C819" s="64"/>
      <c r="D819" s="75" t="s">
        <v>255</v>
      </c>
      <c r="E819" s="90">
        <v>2</v>
      </c>
      <c r="F819" s="28">
        <v>5000</v>
      </c>
      <c r="G819" s="28">
        <v>16</v>
      </c>
      <c r="H819" s="28">
        <f>+F819*G819*E819</f>
        <v>160000</v>
      </c>
      <c r="I819" s="164"/>
      <c r="J819" s="79"/>
      <c r="K819" s="185"/>
      <c r="L819" s="184"/>
      <c r="M819" s="108"/>
      <c r="N819" s="34"/>
      <c r="O819" s="105"/>
      <c r="P819" s="105"/>
      <c r="Q819" s="185"/>
      <c r="R819" s="269"/>
    </row>
    <row r="820" spans="1:18" ht="15" customHeight="1" x14ac:dyDescent="0.2">
      <c r="A820" s="269"/>
      <c r="B820" s="184"/>
      <c r="C820" s="64"/>
      <c r="D820" s="75" t="s">
        <v>209</v>
      </c>
      <c r="E820" s="90">
        <v>5</v>
      </c>
      <c r="F820" s="28">
        <v>3000</v>
      </c>
      <c r="G820" s="28">
        <v>16</v>
      </c>
      <c r="H820" s="28">
        <f>+F820*G820*E820</f>
        <v>240000</v>
      </c>
      <c r="I820" s="164"/>
      <c r="J820" s="79"/>
      <c r="K820" s="185"/>
      <c r="L820" s="184"/>
      <c r="M820" s="108"/>
      <c r="N820" s="34"/>
      <c r="O820" s="105"/>
      <c r="P820" s="105"/>
      <c r="Q820" s="185"/>
      <c r="R820" s="269"/>
    </row>
    <row r="821" spans="1:18" ht="15" customHeight="1" x14ac:dyDescent="0.2">
      <c r="A821" s="269"/>
      <c r="B821" s="184"/>
      <c r="C821" s="64"/>
      <c r="D821" s="469" t="s">
        <v>256</v>
      </c>
      <c r="E821" s="359">
        <v>1</v>
      </c>
      <c r="F821" s="28">
        <v>4000</v>
      </c>
      <c r="G821" s="28">
        <v>16</v>
      </c>
      <c r="H821" s="28">
        <f>+F821*G821*E821</f>
        <v>64000</v>
      </c>
      <c r="I821" s="164"/>
      <c r="J821" s="79"/>
      <c r="K821" s="185"/>
      <c r="L821" s="184"/>
      <c r="M821" s="108"/>
      <c r="N821" s="34"/>
      <c r="O821" s="105"/>
      <c r="P821" s="105"/>
      <c r="Q821" s="185"/>
      <c r="R821" s="269"/>
    </row>
    <row r="822" spans="1:18" ht="15" customHeight="1" x14ac:dyDescent="0.2">
      <c r="A822" s="269"/>
      <c r="B822" s="184"/>
      <c r="C822" s="64"/>
      <c r="D822" s="75" t="s">
        <v>257</v>
      </c>
      <c r="E822" s="10">
        <v>1</v>
      </c>
      <c r="F822" s="120">
        <v>11370</v>
      </c>
      <c r="G822" s="28">
        <v>16</v>
      </c>
      <c r="H822" s="28">
        <f>+F822*G822*E822</f>
        <v>181920</v>
      </c>
      <c r="I822" s="93">
        <v>0</v>
      </c>
      <c r="J822" s="93">
        <f>SUM(H818:H822)</f>
        <v>1045920</v>
      </c>
      <c r="K822" s="185"/>
      <c r="L822" s="184"/>
      <c r="M822" s="28"/>
      <c r="N822" s="28"/>
      <c r="O822" s="28"/>
      <c r="P822" s="32"/>
      <c r="Q822" s="185"/>
      <c r="R822" s="269"/>
    </row>
    <row r="823" spans="1:18" s="74" customFormat="1" ht="15" customHeight="1" x14ac:dyDescent="0.2">
      <c r="A823" s="276"/>
      <c r="B823" s="202"/>
      <c r="C823" s="72"/>
      <c r="D823" s="261" t="s">
        <v>214</v>
      </c>
      <c r="E823" s="149"/>
      <c r="F823" s="78"/>
      <c r="G823" s="152"/>
      <c r="H823" s="28"/>
      <c r="I823" s="166"/>
      <c r="J823" s="160"/>
      <c r="K823" s="191"/>
      <c r="L823" s="190"/>
      <c r="M823" s="171"/>
      <c r="N823" s="82"/>
      <c r="O823" s="152"/>
      <c r="P823" s="118"/>
      <c r="Q823" s="203"/>
      <c r="R823" s="276"/>
    </row>
    <row r="824" spans="1:18" s="121" customFormat="1" ht="15" customHeight="1" x14ac:dyDescent="0.2">
      <c r="A824" s="275"/>
      <c r="B824" s="198"/>
      <c r="C824" s="64"/>
      <c r="D824" s="75" t="s">
        <v>305</v>
      </c>
      <c r="E824" s="90" t="s">
        <v>117</v>
      </c>
      <c r="F824" s="120">
        <v>2580</v>
      </c>
      <c r="G824" s="83">
        <v>1</v>
      </c>
      <c r="H824" s="83">
        <f t="shared" ref="H824:H832" si="3">F824*G824</f>
        <v>2580</v>
      </c>
      <c r="I824" s="164"/>
      <c r="J824" s="79"/>
      <c r="K824" s="199"/>
      <c r="L824" s="198"/>
      <c r="M824" s="113"/>
      <c r="N824" s="85"/>
      <c r="O824" s="111"/>
      <c r="P824" s="111"/>
      <c r="Q824" s="199"/>
      <c r="R824" s="275"/>
    </row>
    <row r="825" spans="1:18" s="121" customFormat="1" ht="15" customHeight="1" x14ac:dyDescent="0.2">
      <c r="A825" s="275"/>
      <c r="B825" s="198"/>
      <c r="C825" s="64"/>
      <c r="D825" s="75" t="s">
        <v>306</v>
      </c>
      <c r="E825" s="90" t="s">
        <v>119</v>
      </c>
      <c r="F825" s="120">
        <v>1040</v>
      </c>
      <c r="G825" s="83">
        <v>16</v>
      </c>
      <c r="H825" s="83">
        <f>+G825*F825</f>
        <v>16640</v>
      </c>
      <c r="I825" s="164"/>
      <c r="J825" s="79"/>
      <c r="K825" s="199"/>
      <c r="L825" s="198"/>
      <c r="M825" s="113"/>
      <c r="N825" s="85"/>
      <c r="O825" s="111"/>
      <c r="P825" s="111"/>
      <c r="Q825" s="199"/>
      <c r="R825" s="275"/>
    </row>
    <row r="826" spans="1:18" s="121" customFormat="1" ht="15" customHeight="1" x14ac:dyDescent="0.2">
      <c r="A826" s="275"/>
      <c r="B826" s="198"/>
      <c r="C826" s="64"/>
      <c r="D826" s="75" t="s">
        <v>307</v>
      </c>
      <c r="E826" s="90" t="s">
        <v>119</v>
      </c>
      <c r="F826" s="120">
        <v>550</v>
      </c>
      <c r="G826" s="83">
        <v>75</v>
      </c>
      <c r="H826" s="83">
        <f>+G826*F826</f>
        <v>41250</v>
      </c>
      <c r="I826" s="164"/>
      <c r="J826" s="79"/>
      <c r="K826" s="199"/>
      <c r="L826" s="198"/>
      <c r="M826" s="113"/>
      <c r="N826" s="85"/>
      <c r="O826" s="111"/>
      <c r="P826" s="111"/>
      <c r="Q826" s="199"/>
      <c r="R826" s="275"/>
    </row>
    <row r="827" spans="1:18" s="121" customFormat="1" ht="15" customHeight="1" x14ac:dyDescent="0.2">
      <c r="A827" s="275"/>
      <c r="B827" s="198"/>
      <c r="C827" s="64"/>
      <c r="D827" s="75" t="s">
        <v>329</v>
      </c>
      <c r="E827" s="90" t="s">
        <v>119</v>
      </c>
      <c r="F827" s="120">
        <v>4160</v>
      </c>
      <c r="G827" s="83">
        <v>5</v>
      </c>
      <c r="H827" s="83">
        <f>+G827*F827</f>
        <v>20800</v>
      </c>
      <c r="I827" s="164"/>
      <c r="J827" s="79"/>
      <c r="K827" s="199"/>
      <c r="L827" s="198"/>
      <c r="M827" s="113"/>
      <c r="N827" s="85"/>
      <c r="O827" s="111"/>
      <c r="P827" s="111"/>
      <c r="Q827" s="199"/>
      <c r="R827" s="275"/>
    </row>
    <row r="828" spans="1:18" s="121" customFormat="1" ht="15" customHeight="1" x14ac:dyDescent="0.2">
      <c r="A828" s="275"/>
      <c r="B828" s="198"/>
      <c r="C828" s="64"/>
      <c r="D828" s="75" t="s">
        <v>310</v>
      </c>
      <c r="E828" s="90" t="s">
        <v>119</v>
      </c>
      <c r="F828" s="120"/>
      <c r="G828" s="83">
        <v>0</v>
      </c>
      <c r="H828" s="83">
        <f t="shared" si="3"/>
        <v>0</v>
      </c>
      <c r="I828" s="164"/>
      <c r="J828" s="79"/>
      <c r="K828" s="199"/>
      <c r="L828" s="198"/>
      <c r="M828" s="113"/>
      <c r="N828" s="85"/>
      <c r="O828" s="111"/>
      <c r="P828" s="111"/>
      <c r="Q828" s="199"/>
      <c r="R828" s="275"/>
    </row>
    <row r="829" spans="1:18" s="121" customFormat="1" ht="15" customHeight="1" x14ac:dyDescent="0.2">
      <c r="A829" s="275"/>
      <c r="B829" s="198"/>
      <c r="C829" s="64"/>
      <c r="D829" s="75" t="s">
        <v>129</v>
      </c>
      <c r="E829" s="90" t="s">
        <v>119</v>
      </c>
      <c r="F829" s="120"/>
      <c r="G829" s="83">
        <v>0</v>
      </c>
      <c r="H829" s="83">
        <f t="shared" si="3"/>
        <v>0</v>
      </c>
      <c r="I829" s="164"/>
      <c r="J829" s="79"/>
      <c r="K829" s="199"/>
      <c r="L829" s="198"/>
      <c r="M829" s="122"/>
      <c r="N829" s="123"/>
      <c r="O829" s="114"/>
      <c r="P829" s="111"/>
      <c r="Q829" s="199"/>
      <c r="R829" s="275"/>
    </row>
    <row r="830" spans="1:18" s="121" customFormat="1" ht="15" customHeight="1" x14ac:dyDescent="0.2">
      <c r="A830" s="275"/>
      <c r="B830" s="360"/>
      <c r="C830" s="64"/>
      <c r="D830" s="469" t="s">
        <v>311</v>
      </c>
      <c r="E830" s="90" t="s">
        <v>24</v>
      </c>
      <c r="F830" s="120">
        <v>1040</v>
      </c>
      <c r="G830" s="83">
        <v>60</v>
      </c>
      <c r="H830" s="83">
        <f t="shared" si="3"/>
        <v>62400</v>
      </c>
      <c r="I830" s="362"/>
      <c r="J830" s="79"/>
      <c r="K830" s="361"/>
      <c r="L830" s="360"/>
      <c r="M830" s="122"/>
      <c r="N830" s="123"/>
      <c r="O830" s="114"/>
      <c r="P830" s="111"/>
      <c r="Q830" s="361"/>
      <c r="R830" s="275"/>
    </row>
    <row r="831" spans="1:18" s="121" customFormat="1" ht="15" customHeight="1" x14ac:dyDescent="0.2">
      <c r="A831" s="275"/>
      <c r="B831" s="360"/>
      <c r="C831" s="64"/>
      <c r="D831" s="75" t="s">
        <v>308</v>
      </c>
      <c r="E831" s="90" t="s">
        <v>24</v>
      </c>
      <c r="F831" s="120">
        <v>485</v>
      </c>
      <c r="G831" s="83">
        <v>75</v>
      </c>
      <c r="H831" s="83">
        <f>+F831*G831</f>
        <v>36375</v>
      </c>
      <c r="I831" s="165"/>
      <c r="J831" s="80"/>
      <c r="K831" s="361"/>
      <c r="L831" s="360"/>
      <c r="M831" s="122"/>
      <c r="N831" s="123"/>
      <c r="O831" s="114"/>
      <c r="P831" s="111"/>
      <c r="Q831" s="361"/>
      <c r="R831" s="275"/>
    </row>
    <row r="832" spans="1:18" s="121" customFormat="1" ht="15" customHeight="1" x14ac:dyDescent="0.2">
      <c r="A832" s="275"/>
      <c r="B832" s="198"/>
      <c r="C832" s="64"/>
      <c r="D832" s="75" t="s">
        <v>309</v>
      </c>
      <c r="E832" s="90" t="s">
        <v>212</v>
      </c>
      <c r="F832" s="120">
        <v>105</v>
      </c>
      <c r="G832" s="83">
        <f>SUM(G824:G831)</f>
        <v>232</v>
      </c>
      <c r="H832" s="83">
        <f t="shared" si="3"/>
        <v>24360</v>
      </c>
      <c r="I832" s="93">
        <v>0</v>
      </c>
      <c r="J832" s="93">
        <f>SUM(H824:H832)</f>
        <v>204405</v>
      </c>
      <c r="K832" s="199"/>
      <c r="L832" s="198"/>
      <c r="M832" s="83"/>
      <c r="N832" s="83">
        <f>J832*0.7</f>
        <v>143083.5</v>
      </c>
      <c r="O832" s="83"/>
      <c r="P832" s="87"/>
      <c r="Q832" s="199"/>
      <c r="R832" s="275"/>
    </row>
    <row r="833" spans="1:18" s="74" customFormat="1" ht="15" customHeight="1" x14ac:dyDescent="0.2">
      <c r="A833" s="276"/>
      <c r="B833" s="202"/>
      <c r="C833" s="72"/>
      <c r="D833" s="260" t="s">
        <v>92</v>
      </c>
      <c r="E833" s="149"/>
      <c r="F833" s="78"/>
      <c r="G833" s="152"/>
      <c r="H833" s="28"/>
      <c r="I833" s="166"/>
      <c r="J833" s="160"/>
      <c r="K833" s="191"/>
      <c r="L833" s="190"/>
      <c r="M833" s="171"/>
      <c r="N833" s="82"/>
      <c r="O833" s="152"/>
      <c r="P833" s="118"/>
      <c r="Q833" s="203"/>
      <c r="R833" s="276"/>
    </row>
    <row r="834" spans="1:18" s="89" customFormat="1" ht="15" customHeight="1" x14ac:dyDescent="0.2">
      <c r="A834" s="275"/>
      <c r="B834" s="198"/>
      <c r="C834" s="64"/>
      <c r="D834" s="75" t="s">
        <v>210</v>
      </c>
      <c r="E834" s="90" t="s">
        <v>60</v>
      </c>
      <c r="F834" s="120">
        <v>20000</v>
      </c>
      <c r="G834" s="161">
        <v>6</v>
      </c>
      <c r="H834" s="83">
        <f>F834*G834</f>
        <v>120000</v>
      </c>
      <c r="I834" s="93">
        <v>0</v>
      </c>
      <c r="J834" s="93">
        <f>+I834+H834</f>
        <v>120000</v>
      </c>
      <c r="K834" s="199"/>
      <c r="L834" s="198"/>
      <c r="M834" s="83"/>
      <c r="N834" s="83"/>
      <c r="O834" s="83"/>
      <c r="P834" s="87"/>
      <c r="Q834" s="199"/>
      <c r="R834" s="275"/>
    </row>
    <row r="835" spans="1:18" s="89" customFormat="1" ht="15" customHeight="1" x14ac:dyDescent="0.2">
      <c r="A835" s="275"/>
      <c r="B835" s="198"/>
      <c r="C835" s="64"/>
      <c r="D835" s="75" t="s">
        <v>211</v>
      </c>
      <c r="E835" s="90" t="s">
        <v>205</v>
      </c>
      <c r="F835" s="120">
        <v>1800</v>
      </c>
      <c r="G835" s="83">
        <v>16</v>
      </c>
      <c r="H835" s="83">
        <f>F835*G835</f>
        <v>28800</v>
      </c>
      <c r="I835" s="93">
        <f>+H835*21%</f>
        <v>6048</v>
      </c>
      <c r="J835" s="93">
        <f>+I835+H835</f>
        <v>34848</v>
      </c>
      <c r="K835" s="199"/>
      <c r="L835" s="198"/>
      <c r="M835" s="83"/>
      <c r="N835" s="83"/>
      <c r="O835" s="83"/>
      <c r="P835" s="87"/>
      <c r="Q835" s="199"/>
      <c r="R835" s="275"/>
    </row>
    <row r="836" spans="1:18" s="89" customFormat="1" ht="15" customHeight="1" x14ac:dyDescent="0.2">
      <c r="A836" s="275"/>
      <c r="B836" s="198"/>
      <c r="C836" s="64"/>
      <c r="D836" s="96" t="s">
        <v>213</v>
      </c>
      <c r="E836" s="90" t="s">
        <v>205</v>
      </c>
      <c r="F836" s="120">
        <v>2000</v>
      </c>
      <c r="G836" s="83">
        <v>16</v>
      </c>
      <c r="H836" s="83">
        <f>F836*G836</f>
        <v>32000</v>
      </c>
      <c r="I836" s="93"/>
      <c r="J836" s="93">
        <f>+I836+H836</f>
        <v>32000</v>
      </c>
      <c r="K836" s="199"/>
      <c r="L836" s="198"/>
      <c r="M836" s="83"/>
      <c r="N836" s="83"/>
      <c r="O836" s="83"/>
      <c r="P836" s="87"/>
      <c r="Q836" s="199"/>
      <c r="R836" s="275"/>
    </row>
    <row r="837" spans="1:18" s="51" customFormat="1" ht="15" customHeight="1" x14ac:dyDescent="0.2">
      <c r="A837" s="273"/>
      <c r="B837" s="192"/>
      <c r="C837" s="176">
        <f>SUM(C817:C836)</f>
        <v>0</v>
      </c>
      <c r="D837" s="139"/>
      <c r="E837" s="102"/>
      <c r="F837" s="532" t="s">
        <v>68</v>
      </c>
      <c r="G837" s="533"/>
      <c r="H837" s="332">
        <f>SUM(H835+H834+J832+J822+H836)</f>
        <v>1431125</v>
      </c>
      <c r="I837" s="328">
        <f>SUM(I835+I834+I832+I822+I836)</f>
        <v>6048</v>
      </c>
      <c r="J837" s="328">
        <f>SUM(J836+J835+J834+J832+J822)</f>
        <v>1437173</v>
      </c>
      <c r="K837" s="282"/>
      <c r="L837" s="281"/>
      <c r="M837" s="329">
        <f>SUM(M817:M836)</f>
        <v>0</v>
      </c>
      <c r="N837" s="330">
        <f>SUM(N817:N836)</f>
        <v>143083.5</v>
      </c>
      <c r="O837" s="331">
        <f>SUM(O817:O836)</f>
        <v>0</v>
      </c>
      <c r="P837" s="333">
        <f>SUM(M837:O837)</f>
        <v>143083.5</v>
      </c>
      <c r="Q837" s="193"/>
      <c r="R837" s="273"/>
    </row>
    <row r="838" spans="1:18" s="49" customFormat="1" ht="30" customHeight="1" x14ac:dyDescent="0.2">
      <c r="A838" s="269"/>
      <c r="B838" s="184"/>
      <c r="C838" s="65"/>
      <c r="D838" s="6"/>
      <c r="E838" s="7"/>
      <c r="F838" s="8"/>
      <c r="G838" s="8"/>
      <c r="H838" s="9"/>
      <c r="I838" s="50"/>
      <c r="J838" s="50"/>
      <c r="K838" s="185"/>
      <c r="L838" s="184"/>
      <c r="M838" s="54"/>
      <c r="N838" s="54"/>
      <c r="O838" s="54"/>
      <c r="P838" s="55"/>
      <c r="Q838" s="185"/>
      <c r="R838" s="269"/>
    </row>
    <row r="839" spans="1:18" s="51" customFormat="1" ht="15" customHeight="1" x14ac:dyDescent="0.2">
      <c r="A839" s="273"/>
      <c r="B839" s="196"/>
      <c r="C839" s="295">
        <v>12</v>
      </c>
      <c r="D839" s="300" t="s">
        <v>99</v>
      </c>
      <c r="E839" s="323" t="s">
        <v>74</v>
      </c>
      <c r="F839" s="324" t="s">
        <v>38</v>
      </c>
      <c r="G839" s="325" t="s">
        <v>39</v>
      </c>
      <c r="H839" s="321" t="s">
        <v>52</v>
      </c>
      <c r="I839" s="326" t="s">
        <v>55</v>
      </c>
      <c r="J839" s="326" t="s">
        <v>130</v>
      </c>
      <c r="K839" s="197"/>
      <c r="L839" s="196"/>
      <c r="M839" s="327" t="s">
        <v>88</v>
      </c>
      <c r="N839" s="327" t="s">
        <v>25</v>
      </c>
      <c r="O839" s="327" t="s">
        <v>54</v>
      </c>
      <c r="P839" s="322" t="s">
        <v>52</v>
      </c>
      <c r="Q839" s="197"/>
      <c r="R839" s="273"/>
    </row>
    <row r="840" spans="1:18" ht="15" customHeight="1" x14ac:dyDescent="0.2">
      <c r="A840" s="269"/>
      <c r="B840" s="204"/>
      <c r="C840" s="64"/>
      <c r="D840" s="258" t="s">
        <v>102</v>
      </c>
      <c r="E840" s="90" t="s">
        <v>117</v>
      </c>
      <c r="F840" s="3">
        <v>20000</v>
      </c>
      <c r="G840" s="2">
        <v>1</v>
      </c>
      <c r="H840" s="62">
        <f>F840*G840</f>
        <v>20000</v>
      </c>
      <c r="I840" s="161">
        <f>+H840*21%</f>
        <v>4200</v>
      </c>
      <c r="J840" s="161">
        <f>+I840+H840</f>
        <v>24200</v>
      </c>
      <c r="K840" s="205"/>
      <c r="L840" s="204"/>
      <c r="M840" s="25"/>
      <c r="N840" s="23"/>
      <c r="O840" s="25"/>
      <c r="P840" s="31"/>
      <c r="Q840" s="205"/>
      <c r="R840" s="269"/>
    </row>
    <row r="841" spans="1:18" ht="15" customHeight="1" x14ac:dyDescent="0.2">
      <c r="A841" s="269"/>
      <c r="B841" s="204"/>
      <c r="C841" s="64"/>
      <c r="D841" s="258" t="s">
        <v>92</v>
      </c>
      <c r="E841" s="90" t="s">
        <v>117</v>
      </c>
      <c r="F841" s="3">
        <v>0</v>
      </c>
      <c r="G841" s="2">
        <v>1</v>
      </c>
      <c r="H841" s="62">
        <f>F841*G841</f>
        <v>0</v>
      </c>
      <c r="I841" s="161">
        <v>0</v>
      </c>
      <c r="J841" s="161">
        <f>+I841+H841</f>
        <v>0</v>
      </c>
      <c r="K841" s="205"/>
      <c r="L841" s="204"/>
      <c r="M841" s="25"/>
      <c r="N841" s="23"/>
      <c r="O841" s="25"/>
      <c r="P841" s="31"/>
      <c r="Q841" s="205"/>
      <c r="R841" s="269"/>
    </row>
    <row r="842" spans="1:18" s="51" customFormat="1" ht="15" customHeight="1" x14ac:dyDescent="0.2">
      <c r="A842" s="273"/>
      <c r="B842" s="192"/>
      <c r="C842" s="140">
        <f>SUM(C840:C841)</f>
        <v>0</v>
      </c>
      <c r="D842" s="139"/>
      <c r="E842" s="102"/>
      <c r="F842" s="532" t="s">
        <v>12</v>
      </c>
      <c r="G842" s="533"/>
      <c r="H842" s="332">
        <f>SUM(H840:H841)</f>
        <v>20000</v>
      </c>
      <c r="I842" s="328">
        <f>SUM(I840:I841)</f>
        <v>4200</v>
      </c>
      <c r="J842" s="328">
        <f>SUM(J840:J841)</f>
        <v>24200</v>
      </c>
      <c r="K842" s="282"/>
      <c r="L842" s="281"/>
      <c r="M842" s="329">
        <f>SUM(M840:M841)</f>
        <v>0</v>
      </c>
      <c r="N842" s="330"/>
      <c r="O842" s="331">
        <f>SUM(O840:O841)</f>
        <v>0</v>
      </c>
      <c r="P842" s="333">
        <f>SUM(M842:O842)</f>
        <v>0</v>
      </c>
      <c r="Q842" s="193"/>
      <c r="R842" s="273"/>
    </row>
    <row r="843" spans="1:18" s="49" customFormat="1" ht="30" customHeight="1" x14ac:dyDescent="0.2">
      <c r="A843" s="269"/>
      <c r="B843" s="184"/>
      <c r="C843" s="65"/>
      <c r="D843" s="6"/>
      <c r="E843" s="7"/>
      <c r="F843" s="8"/>
      <c r="G843" s="8"/>
      <c r="H843" s="9"/>
      <c r="I843" s="50"/>
      <c r="J843" s="50"/>
      <c r="K843" s="185"/>
      <c r="L843" s="184"/>
      <c r="M843" s="54"/>
      <c r="N843" s="54"/>
      <c r="O843" s="54"/>
      <c r="P843" s="55"/>
      <c r="Q843" s="185"/>
      <c r="R843" s="269"/>
    </row>
    <row r="844" spans="1:18" s="51" customFormat="1" ht="15" customHeight="1" x14ac:dyDescent="0.2">
      <c r="A844" s="273"/>
      <c r="B844" s="196"/>
      <c r="C844" s="295">
        <v>13</v>
      </c>
      <c r="D844" s="300" t="s">
        <v>8</v>
      </c>
      <c r="E844" s="323" t="s">
        <v>74</v>
      </c>
      <c r="F844" s="324" t="s">
        <v>38</v>
      </c>
      <c r="G844" s="325" t="s">
        <v>39</v>
      </c>
      <c r="H844" s="321" t="s">
        <v>52</v>
      </c>
      <c r="I844" s="326" t="s">
        <v>55</v>
      </c>
      <c r="J844" s="326" t="s">
        <v>130</v>
      </c>
      <c r="K844" s="197"/>
      <c r="L844" s="196"/>
      <c r="M844" s="327" t="s">
        <v>88</v>
      </c>
      <c r="N844" s="327" t="s">
        <v>25</v>
      </c>
      <c r="O844" s="327" t="s">
        <v>54</v>
      </c>
      <c r="P844" s="322" t="s">
        <v>52</v>
      </c>
      <c r="Q844" s="197"/>
      <c r="R844" s="273"/>
    </row>
    <row r="845" spans="1:18" ht="15" customHeight="1" x14ac:dyDescent="0.2">
      <c r="A845" s="269"/>
      <c r="B845" s="190"/>
      <c r="C845" s="64"/>
      <c r="D845" s="259" t="s">
        <v>273</v>
      </c>
      <c r="E845" s="90" t="s">
        <v>117</v>
      </c>
      <c r="F845" s="60">
        <v>170000</v>
      </c>
      <c r="G845" s="29">
        <v>1</v>
      </c>
      <c r="H845" s="29">
        <f>+F845*G845</f>
        <v>170000</v>
      </c>
      <c r="I845" s="93">
        <v>0</v>
      </c>
      <c r="J845" s="93">
        <f>H845+I845</f>
        <v>170000</v>
      </c>
      <c r="K845" s="191"/>
      <c r="L845" s="190"/>
      <c r="M845" s="28"/>
      <c r="N845" s="28"/>
      <c r="O845" s="28"/>
      <c r="P845" s="31"/>
      <c r="Q845" s="191"/>
      <c r="R845" s="269"/>
    </row>
    <row r="846" spans="1:18" ht="15" customHeight="1" x14ac:dyDescent="0.2">
      <c r="A846" s="269"/>
      <c r="B846" s="190"/>
      <c r="C846" s="64"/>
      <c r="D846" s="259" t="s">
        <v>219</v>
      </c>
      <c r="E846" s="90" t="s">
        <v>117</v>
      </c>
      <c r="F846" s="60">
        <v>60000</v>
      </c>
      <c r="G846" s="29">
        <v>1</v>
      </c>
      <c r="H846" s="29">
        <f>+F846*G846</f>
        <v>60000</v>
      </c>
      <c r="I846" s="93">
        <v>0</v>
      </c>
      <c r="J846" s="93">
        <f>H846+I846</f>
        <v>60000</v>
      </c>
      <c r="K846" s="191"/>
      <c r="L846" s="190"/>
      <c r="M846" s="28"/>
      <c r="N846" s="28"/>
      <c r="O846" s="28">
        <f>H846</f>
        <v>60000</v>
      </c>
      <c r="P846" s="31"/>
      <c r="Q846" s="191"/>
      <c r="R846" s="269"/>
    </row>
    <row r="847" spans="1:18" ht="15" customHeight="1" x14ac:dyDescent="0.2">
      <c r="A847" s="269"/>
      <c r="B847" s="190"/>
      <c r="C847" s="64"/>
      <c r="D847" s="258" t="s">
        <v>66</v>
      </c>
      <c r="E847" s="90" t="s">
        <v>117</v>
      </c>
      <c r="F847" s="28">
        <v>0</v>
      </c>
      <c r="G847" s="29">
        <v>1</v>
      </c>
      <c r="H847" s="29">
        <f>+F847*G847</f>
        <v>0</v>
      </c>
      <c r="I847" s="93">
        <v>0</v>
      </c>
      <c r="J847" s="93">
        <f>H847+I847</f>
        <v>0</v>
      </c>
      <c r="K847" s="191"/>
      <c r="L847" s="190"/>
      <c r="M847" s="28"/>
      <c r="N847" s="28"/>
      <c r="O847" s="28">
        <f>H847</f>
        <v>0</v>
      </c>
      <c r="P847" s="31"/>
      <c r="Q847" s="191"/>
      <c r="R847" s="269"/>
    </row>
    <row r="848" spans="1:18" s="51" customFormat="1" ht="15" customHeight="1" x14ac:dyDescent="0.2">
      <c r="A848" s="273"/>
      <c r="B848" s="192"/>
      <c r="C848" s="140">
        <f>SUM(C845:C847)</f>
        <v>0</v>
      </c>
      <c r="D848" s="139"/>
      <c r="E848" s="102"/>
      <c r="F848" s="532" t="s">
        <v>97</v>
      </c>
      <c r="G848" s="533"/>
      <c r="H848" s="332">
        <f>SUM(H845:H847)</f>
        <v>230000</v>
      </c>
      <c r="I848" s="328">
        <f>SUM(I845:I847)</f>
        <v>0</v>
      </c>
      <c r="J848" s="328">
        <f>SUM(J845:J847)</f>
        <v>230000</v>
      </c>
      <c r="K848" s="282"/>
      <c r="L848" s="281"/>
      <c r="M848" s="329">
        <f>SUM(M845:M847)</f>
        <v>0</v>
      </c>
      <c r="N848" s="330">
        <f>SUM(N845:N847)</f>
        <v>0</v>
      </c>
      <c r="O848" s="331">
        <f>SUM(O845:O847)</f>
        <v>60000</v>
      </c>
      <c r="P848" s="333">
        <f>SUM(M848:O848)</f>
        <v>60000</v>
      </c>
      <c r="Q848" s="193"/>
      <c r="R848" s="273"/>
    </row>
    <row r="849" spans="1:18" s="49" customFormat="1" ht="30" customHeight="1" x14ac:dyDescent="0.2">
      <c r="A849" s="269"/>
      <c r="B849" s="184"/>
      <c r="C849" s="65"/>
      <c r="D849" s="6"/>
      <c r="E849" s="7"/>
      <c r="F849" s="8"/>
      <c r="G849" s="8"/>
      <c r="H849" s="9"/>
      <c r="I849" s="50"/>
      <c r="J849" s="50"/>
      <c r="K849" s="185"/>
      <c r="L849" s="184"/>
      <c r="M849" s="54"/>
      <c r="N849" s="54"/>
      <c r="O849" s="54"/>
      <c r="P849" s="55"/>
      <c r="Q849" s="185"/>
      <c r="R849" s="269"/>
    </row>
    <row r="850" spans="1:18" s="51" customFormat="1" ht="15" customHeight="1" x14ac:dyDescent="0.2">
      <c r="A850" s="273"/>
      <c r="B850" s="196"/>
      <c r="C850" s="295">
        <v>14</v>
      </c>
      <c r="D850" s="300" t="s">
        <v>15</v>
      </c>
      <c r="E850" s="323" t="s">
        <v>74</v>
      </c>
      <c r="F850" s="324" t="s">
        <v>38</v>
      </c>
      <c r="G850" s="325" t="s">
        <v>39</v>
      </c>
      <c r="H850" s="321" t="s">
        <v>52</v>
      </c>
      <c r="I850" s="326" t="s">
        <v>55</v>
      </c>
      <c r="J850" s="326" t="s">
        <v>130</v>
      </c>
      <c r="K850" s="197"/>
      <c r="L850" s="196"/>
      <c r="M850" s="327" t="s">
        <v>88</v>
      </c>
      <c r="N850" s="327" t="s">
        <v>25</v>
      </c>
      <c r="O850" s="327" t="s">
        <v>54</v>
      </c>
      <c r="P850" s="322" t="s">
        <v>52</v>
      </c>
      <c r="Q850" s="197"/>
      <c r="R850" s="273"/>
    </row>
    <row r="851" spans="1:18" s="172" customFormat="1" ht="15" customHeight="1" x14ac:dyDescent="0.2">
      <c r="A851" s="275"/>
      <c r="B851" s="237"/>
      <c r="C851" s="64"/>
      <c r="D851" s="264" t="s">
        <v>146</v>
      </c>
      <c r="E851" s="223"/>
      <c r="F851" s="224"/>
      <c r="G851" s="111"/>
      <c r="H851" s="85"/>
      <c r="I851" s="166"/>
      <c r="J851" s="160"/>
      <c r="K851" s="238"/>
      <c r="L851" s="237"/>
      <c r="M851" s="227"/>
      <c r="N851" s="228"/>
      <c r="O851" s="229"/>
      <c r="P851" s="31"/>
      <c r="Q851" s="238"/>
      <c r="R851" s="275"/>
    </row>
    <row r="852" spans="1:18" s="89" customFormat="1" ht="15" customHeight="1" x14ac:dyDescent="0.2">
      <c r="A852" s="275"/>
      <c r="B852" s="198"/>
      <c r="C852" s="64"/>
      <c r="D852" s="75" t="s">
        <v>148</v>
      </c>
      <c r="E852" s="90" t="s">
        <v>220</v>
      </c>
      <c r="F852" s="120">
        <v>4500</v>
      </c>
      <c r="G852" s="83">
        <v>5</v>
      </c>
      <c r="H852" s="83">
        <f>+F852*G852</f>
        <v>22500</v>
      </c>
      <c r="I852" s="93">
        <f>H852*21%</f>
        <v>4725</v>
      </c>
      <c r="J852" s="93">
        <f>H852+I852</f>
        <v>27225</v>
      </c>
      <c r="K852" s="199"/>
      <c r="L852" s="198"/>
      <c r="M852" s="83">
        <f>H852*0.5</f>
        <v>11250</v>
      </c>
      <c r="N852" s="83"/>
      <c r="O852" s="83">
        <f>H852*0.5</f>
        <v>11250</v>
      </c>
      <c r="P852" s="87"/>
      <c r="Q852" s="199"/>
      <c r="R852" s="275"/>
    </row>
    <row r="853" spans="1:18" s="89" customFormat="1" ht="15" customHeight="1" x14ac:dyDescent="0.2">
      <c r="A853" s="275"/>
      <c r="B853" s="198"/>
      <c r="C853" s="64"/>
      <c r="D853" s="75" t="s">
        <v>149</v>
      </c>
      <c r="E853" s="90" t="s">
        <v>150</v>
      </c>
      <c r="F853" s="120">
        <v>2300</v>
      </c>
      <c r="G853" s="83">
        <v>3</v>
      </c>
      <c r="H853" s="114">
        <f>+F853*G853</f>
        <v>6900</v>
      </c>
      <c r="I853" s="93">
        <f>H853*21%</f>
        <v>1449</v>
      </c>
      <c r="J853" s="93">
        <f>H853+I853</f>
        <v>8349</v>
      </c>
      <c r="K853" s="199"/>
      <c r="L853" s="198"/>
      <c r="M853" s="83">
        <f>H853</f>
        <v>6900</v>
      </c>
      <c r="N853" s="83"/>
      <c r="O853" s="83"/>
      <c r="P853" s="87"/>
      <c r="Q853" s="199"/>
      <c r="R853" s="275"/>
    </row>
    <row r="854" spans="1:18" s="172" customFormat="1" ht="15" customHeight="1" x14ac:dyDescent="0.2">
      <c r="A854" s="275"/>
      <c r="B854" s="226"/>
      <c r="C854" s="64"/>
      <c r="D854" s="258" t="s">
        <v>105</v>
      </c>
      <c r="E854" s="90" t="s">
        <v>117</v>
      </c>
      <c r="F854" s="83">
        <v>0</v>
      </c>
      <c r="G854" s="114">
        <v>0</v>
      </c>
      <c r="H854" s="114">
        <f>+F854*G854</f>
        <v>0</v>
      </c>
      <c r="I854" s="93">
        <f>H854*21%</f>
        <v>0</v>
      </c>
      <c r="J854" s="93">
        <f>H854+I854</f>
        <v>0</v>
      </c>
      <c r="K854" s="225"/>
      <c r="L854" s="226"/>
      <c r="M854" s="83">
        <f>H854*0.8</f>
        <v>0</v>
      </c>
      <c r="N854" s="83">
        <f>H854*20%</f>
        <v>0</v>
      </c>
      <c r="O854" s="83"/>
      <c r="P854" s="31"/>
      <c r="Q854" s="225"/>
      <c r="R854" s="275"/>
    </row>
    <row r="855" spans="1:18" s="51" customFormat="1" ht="15" customHeight="1" x14ac:dyDescent="0.2">
      <c r="A855" s="273"/>
      <c r="B855" s="192"/>
      <c r="C855" s="140">
        <f>SUM(C851:C854)</f>
        <v>0</v>
      </c>
      <c r="D855" s="139"/>
      <c r="E855" s="102"/>
      <c r="F855" s="532" t="s">
        <v>96</v>
      </c>
      <c r="G855" s="533"/>
      <c r="H855" s="332">
        <f>SUM(H852:H854)</f>
        <v>29400</v>
      </c>
      <c r="I855" s="328">
        <f>SUM(I852:I854)</f>
        <v>6174</v>
      </c>
      <c r="J855" s="328">
        <f>SUM(J852:J854)</f>
        <v>35574</v>
      </c>
      <c r="K855" s="282"/>
      <c r="L855" s="281"/>
      <c r="M855" s="329">
        <f>SUM(M851:M854)</f>
        <v>18150</v>
      </c>
      <c r="N855" s="330">
        <f>SUM(N851:N854)</f>
        <v>0</v>
      </c>
      <c r="O855" s="331">
        <f>SUM(O851:O854)</f>
        <v>11250</v>
      </c>
      <c r="P855" s="333">
        <f>SUM(M855:O855)</f>
        <v>29400</v>
      </c>
      <c r="Q855" s="193"/>
      <c r="R855" s="273"/>
    </row>
    <row r="856" spans="1:18" s="49" customFormat="1" ht="30" customHeight="1" x14ac:dyDescent="0.2">
      <c r="A856" s="269"/>
      <c r="B856" s="184"/>
      <c r="C856" s="65"/>
      <c r="D856" s="6"/>
      <c r="E856" s="7"/>
      <c r="F856" s="8"/>
      <c r="G856" s="8"/>
      <c r="H856" s="9"/>
      <c r="I856" s="50"/>
      <c r="J856" s="50"/>
      <c r="K856" s="185"/>
      <c r="L856" s="184"/>
      <c r="M856" s="54"/>
      <c r="N856" s="54"/>
      <c r="O856" s="54"/>
      <c r="P856" s="55"/>
      <c r="Q856" s="185"/>
      <c r="R856" s="269"/>
    </row>
    <row r="857" spans="1:18" s="51" customFormat="1" ht="15" customHeight="1" x14ac:dyDescent="0.2">
      <c r="A857" s="273"/>
      <c r="B857" s="196"/>
      <c r="C857" s="295">
        <v>15</v>
      </c>
      <c r="D857" s="300" t="s">
        <v>275</v>
      </c>
      <c r="E857" s="323" t="s">
        <v>74</v>
      </c>
      <c r="F857" s="324" t="s">
        <v>38</v>
      </c>
      <c r="G857" s="403" t="s">
        <v>39</v>
      </c>
      <c r="H857" s="321" t="s">
        <v>52</v>
      </c>
      <c r="I857" s="326" t="s">
        <v>55</v>
      </c>
      <c r="J857" s="326" t="s">
        <v>130</v>
      </c>
      <c r="K857" s="197"/>
      <c r="L857" s="196"/>
      <c r="M857" s="327" t="s">
        <v>88</v>
      </c>
      <c r="N857" s="327" t="s">
        <v>25</v>
      </c>
      <c r="O857" s="327" t="s">
        <v>54</v>
      </c>
      <c r="P857" s="322" t="s">
        <v>52</v>
      </c>
      <c r="Q857" s="197"/>
      <c r="R857" s="273"/>
    </row>
    <row r="858" spans="1:18" s="172" customFormat="1" ht="15" customHeight="1" x14ac:dyDescent="0.2">
      <c r="A858" s="416"/>
      <c r="B858" s="409"/>
      <c r="C858" s="64"/>
      <c r="D858" s="264" t="s">
        <v>312</v>
      </c>
      <c r="E858" s="223"/>
      <c r="F858" s="224"/>
      <c r="G858" s="111"/>
      <c r="H858" s="85"/>
      <c r="I858" s="166"/>
      <c r="J858" s="160"/>
      <c r="K858" s="410"/>
      <c r="L858" s="409"/>
      <c r="M858" s="227"/>
      <c r="N858" s="228"/>
      <c r="O858" s="229"/>
      <c r="P858" s="31"/>
      <c r="Q858" s="410"/>
      <c r="R858" s="416"/>
    </row>
    <row r="859" spans="1:18" s="172" customFormat="1" ht="15" customHeight="1" x14ac:dyDescent="0.2">
      <c r="A859" s="416"/>
      <c r="B859" s="409"/>
      <c r="C859" s="64"/>
      <c r="D859" s="417" t="s">
        <v>313</v>
      </c>
      <c r="E859" s="223"/>
      <c r="F859" s="85"/>
      <c r="G859" s="111"/>
      <c r="H859" s="87"/>
      <c r="I859" s="164"/>
      <c r="J859" s="79"/>
      <c r="K859" s="410"/>
      <c r="L859" s="409"/>
      <c r="M859" s="223"/>
      <c r="N859" s="85"/>
      <c r="O859" s="111"/>
      <c r="P859" s="118"/>
      <c r="Q859" s="410"/>
      <c r="R859" s="416"/>
    </row>
    <row r="860" spans="1:18" s="172" customFormat="1" ht="15" customHeight="1" x14ac:dyDescent="0.2">
      <c r="A860" s="416"/>
      <c r="B860" s="409"/>
      <c r="C860" s="64"/>
      <c r="D860" s="417" t="s">
        <v>324</v>
      </c>
      <c r="E860" s="223"/>
      <c r="F860" s="85"/>
      <c r="G860" s="111"/>
      <c r="H860" s="87"/>
      <c r="I860" s="164"/>
      <c r="J860" s="79"/>
      <c r="K860" s="410"/>
      <c r="L860" s="409"/>
      <c r="M860" s="223"/>
      <c r="N860" s="85"/>
      <c r="O860" s="111"/>
      <c r="P860" s="118"/>
      <c r="Q860" s="410"/>
      <c r="R860" s="416"/>
    </row>
    <row r="861" spans="1:18" s="172" customFormat="1" ht="15" customHeight="1" x14ac:dyDescent="0.2">
      <c r="A861" s="416"/>
      <c r="B861" s="409"/>
      <c r="C861" s="64"/>
      <c r="D861" s="418"/>
      <c r="E861" s="77" t="s">
        <v>248</v>
      </c>
      <c r="F861" s="83">
        <v>240000</v>
      </c>
      <c r="G861" s="83">
        <v>5</v>
      </c>
      <c r="H861" s="83">
        <f>+F861*G861</f>
        <v>1200000</v>
      </c>
      <c r="I861" s="93">
        <f>H861*21%</f>
        <v>252000</v>
      </c>
      <c r="J861" s="93">
        <f>H861+I861</f>
        <v>1452000</v>
      </c>
      <c r="K861" s="410"/>
      <c r="L861" s="409"/>
      <c r="M861" s="83"/>
      <c r="N861" s="83"/>
      <c r="O861" s="83"/>
      <c r="P861" s="31"/>
      <c r="Q861" s="410"/>
      <c r="R861" s="416"/>
    </row>
    <row r="862" spans="1:18" s="51" customFormat="1" ht="15" customHeight="1" x14ac:dyDescent="0.2">
      <c r="A862" s="419"/>
      <c r="B862" s="412"/>
      <c r="C862" s="140">
        <f>SUM(C861:C861)</f>
        <v>0</v>
      </c>
      <c r="D862" s="139"/>
      <c r="E862" s="102"/>
      <c r="F862" s="532" t="s">
        <v>18</v>
      </c>
      <c r="G862" s="533"/>
      <c r="H862" s="332">
        <f>SUM(H861:H861)</f>
        <v>1200000</v>
      </c>
      <c r="I862" s="420">
        <f>SUM(I858:I861)</f>
        <v>252000</v>
      </c>
      <c r="J862" s="420">
        <f>SUM(J858:J861)</f>
        <v>1452000</v>
      </c>
      <c r="K862" s="413"/>
      <c r="L862" s="412"/>
      <c r="M862" s="421">
        <f>SUM(M858:M861)</f>
        <v>0</v>
      </c>
      <c r="N862" s="422">
        <f>SUM(N858:N861)</f>
        <v>0</v>
      </c>
      <c r="O862" s="423">
        <f>SUM(O858:O861)</f>
        <v>0</v>
      </c>
      <c r="P862" s="333">
        <f>SUM(M862:O862)</f>
        <v>0</v>
      </c>
      <c r="Q862" s="413"/>
      <c r="R862" s="419"/>
    </row>
    <row r="863" spans="1:18" s="49" customFormat="1" ht="30" customHeight="1" x14ac:dyDescent="0.2">
      <c r="A863" s="269"/>
      <c r="B863" s="184"/>
      <c r="C863" s="65"/>
      <c r="D863" s="6"/>
      <c r="E863" s="7"/>
      <c r="F863" s="8"/>
      <c r="G863" s="8"/>
      <c r="H863" s="9"/>
      <c r="I863" s="50"/>
      <c r="J863" s="50"/>
      <c r="K863" s="185"/>
      <c r="L863" s="184"/>
      <c r="M863" s="54"/>
      <c r="N863" s="54"/>
      <c r="O863" s="54"/>
      <c r="P863" s="55"/>
      <c r="Q863" s="185"/>
      <c r="R863" s="269"/>
    </row>
    <row r="864" spans="1:18" s="51" customFormat="1" ht="15" customHeight="1" x14ac:dyDescent="0.2">
      <c r="A864" s="273"/>
      <c r="B864" s="196"/>
      <c r="C864" s="295">
        <v>16</v>
      </c>
      <c r="D864" s="300" t="s">
        <v>276</v>
      </c>
      <c r="E864" s="323" t="s">
        <v>93</v>
      </c>
      <c r="F864" s="324" t="s">
        <v>38</v>
      </c>
      <c r="G864" s="325" t="s">
        <v>39</v>
      </c>
      <c r="H864" s="321" t="s">
        <v>32</v>
      </c>
      <c r="I864" s="326" t="s">
        <v>56</v>
      </c>
      <c r="J864" s="326" t="s">
        <v>52</v>
      </c>
      <c r="K864" s="197"/>
      <c r="L864" s="196"/>
      <c r="M864" s="327" t="s">
        <v>88</v>
      </c>
      <c r="N864" s="327" t="s">
        <v>25</v>
      </c>
      <c r="O864" s="327" t="s">
        <v>54</v>
      </c>
      <c r="P864" s="322" t="s">
        <v>52</v>
      </c>
      <c r="Q864" s="197"/>
      <c r="R864" s="273"/>
    </row>
    <row r="865" spans="1:18" ht="15" customHeight="1" x14ac:dyDescent="0.2">
      <c r="A865" s="424"/>
      <c r="B865" s="340"/>
      <c r="C865" s="63"/>
      <c r="D865" s="472" t="s">
        <v>277</v>
      </c>
      <c r="E865" s="223"/>
      <c r="F865" s="85"/>
      <c r="G865" s="105"/>
      <c r="H865" s="32"/>
      <c r="I865" s="164"/>
      <c r="J865" s="79"/>
      <c r="K865" s="341"/>
      <c r="L865" s="340"/>
      <c r="M865" s="108"/>
      <c r="N865" s="34"/>
      <c r="O865" s="105"/>
      <c r="P865" s="31"/>
      <c r="Q865" s="341"/>
      <c r="R865" s="424"/>
    </row>
    <row r="866" spans="1:18" ht="15" customHeight="1" x14ac:dyDescent="0.2">
      <c r="A866" s="424"/>
      <c r="B866" s="340"/>
      <c r="C866" s="63"/>
      <c r="D866" s="363"/>
      <c r="E866" s="223"/>
      <c r="F866" s="85"/>
      <c r="G866" s="105"/>
      <c r="H866" s="32"/>
      <c r="I866" s="164"/>
      <c r="J866" s="79"/>
      <c r="K866" s="341"/>
      <c r="L866" s="340"/>
      <c r="M866" s="108"/>
      <c r="N866" s="34"/>
      <c r="O866" s="105"/>
      <c r="P866" s="31"/>
      <c r="Q866" s="341"/>
      <c r="R866" s="424"/>
    </row>
    <row r="867" spans="1:18" ht="15" customHeight="1" x14ac:dyDescent="0.2">
      <c r="A867" s="424"/>
      <c r="B867" s="340"/>
      <c r="C867" s="63"/>
      <c r="D867" s="363"/>
      <c r="E867" s="223"/>
      <c r="F867" s="85"/>
      <c r="G867" s="105"/>
      <c r="H867" s="32"/>
      <c r="I867" s="164"/>
      <c r="J867" s="79"/>
      <c r="K867" s="341"/>
      <c r="L867" s="340"/>
      <c r="M867" s="108"/>
      <c r="N867" s="34"/>
      <c r="O867" s="105"/>
      <c r="P867" s="31"/>
      <c r="Q867" s="341"/>
      <c r="R867" s="424"/>
    </row>
    <row r="868" spans="1:18" s="172" customFormat="1" ht="15" customHeight="1" x14ac:dyDescent="0.2">
      <c r="A868" s="416"/>
      <c r="B868" s="409"/>
      <c r="C868" s="64"/>
      <c r="D868" s="231"/>
      <c r="E868" s="90" t="s">
        <v>201</v>
      </c>
      <c r="F868" s="83">
        <v>100000</v>
      </c>
      <c r="G868" s="83">
        <v>1</v>
      </c>
      <c r="H868" s="83">
        <f>+F868*G868</f>
        <v>100000</v>
      </c>
      <c r="I868" s="93">
        <f>H868*21%</f>
        <v>21000</v>
      </c>
      <c r="J868" s="93">
        <f>H868+I868</f>
        <v>121000</v>
      </c>
      <c r="K868" s="410"/>
      <c r="L868" s="409"/>
      <c r="M868" s="83"/>
      <c r="N868" s="83"/>
      <c r="O868" s="83">
        <f>H868-N868</f>
        <v>100000</v>
      </c>
      <c r="P868" s="31"/>
      <c r="Q868" s="410"/>
      <c r="R868" s="416"/>
    </row>
    <row r="869" spans="1:18" s="51" customFormat="1" ht="15" customHeight="1" x14ac:dyDescent="0.2">
      <c r="A869" s="419"/>
      <c r="B869" s="412"/>
      <c r="C869" s="140">
        <f>SUM(C865:C868)</f>
        <v>0</v>
      </c>
      <c r="D869" s="139"/>
      <c r="E869" s="102"/>
      <c r="F869" s="532" t="s">
        <v>299</v>
      </c>
      <c r="G869" s="533"/>
      <c r="H869" s="332">
        <f>SUM(H865:H868)</f>
        <v>100000</v>
      </c>
      <c r="I869" s="420">
        <f>SUM(I865:I868)</f>
        <v>21000</v>
      </c>
      <c r="J869" s="420">
        <f>SUM(J865:J868)</f>
        <v>121000</v>
      </c>
      <c r="K869" s="413"/>
      <c r="L869" s="412"/>
      <c r="M869" s="421">
        <f>SUM(M865:M868)</f>
        <v>0</v>
      </c>
      <c r="N869" s="422"/>
      <c r="O869" s="423">
        <f>SUM(O865:O868)</f>
        <v>100000</v>
      </c>
      <c r="P869" s="333">
        <f>SUM(M869:O869)</f>
        <v>100000</v>
      </c>
      <c r="Q869" s="413"/>
      <c r="R869" s="419"/>
    </row>
    <row r="870" spans="1:18" s="51" customFormat="1" ht="15" customHeight="1" x14ac:dyDescent="0.2">
      <c r="A870" s="419"/>
      <c r="B870" s="454"/>
      <c r="C870" s="455"/>
      <c r="D870" s="139"/>
      <c r="E870" s="102"/>
      <c r="F870" s="283"/>
      <c r="G870" s="283"/>
      <c r="H870" s="284"/>
      <c r="I870" s="284"/>
      <c r="J870" s="284"/>
      <c r="K870" s="456"/>
      <c r="L870" s="454"/>
      <c r="M870" s="286"/>
      <c r="N870" s="286"/>
      <c r="O870" s="286"/>
      <c r="P870" s="286"/>
      <c r="Q870" s="456"/>
      <c r="R870" s="419"/>
    </row>
    <row r="871" spans="1:18" s="51" customFormat="1" ht="15" customHeight="1" x14ac:dyDescent="0.2">
      <c r="A871" s="419"/>
      <c r="B871" s="454"/>
      <c r="C871" s="455"/>
      <c r="D871" s="139"/>
      <c r="E871" s="102"/>
      <c r="F871" s="283"/>
      <c r="G871" s="283"/>
      <c r="H871" s="284"/>
      <c r="I871" s="284"/>
      <c r="J871" s="284"/>
      <c r="K871" s="456"/>
      <c r="L871" s="454"/>
      <c r="M871" s="286"/>
      <c r="N871" s="286"/>
      <c r="O871" s="286"/>
      <c r="P871" s="286"/>
      <c r="Q871" s="456"/>
      <c r="R871" s="419"/>
    </row>
    <row r="872" spans="1:18" s="51" customFormat="1" ht="15" customHeight="1" x14ac:dyDescent="0.2">
      <c r="A872" s="419"/>
      <c r="B872" s="196"/>
      <c r="C872" s="295">
        <v>17</v>
      </c>
      <c r="D872" s="300" t="s">
        <v>314</v>
      </c>
      <c r="E872" s="425" t="s">
        <v>74</v>
      </c>
      <c r="F872" s="426" t="s">
        <v>38</v>
      </c>
      <c r="G872" s="427" t="s">
        <v>39</v>
      </c>
      <c r="H872" s="321" t="s">
        <v>52</v>
      </c>
      <c r="I872" s="428" t="s">
        <v>55</v>
      </c>
      <c r="J872" s="428" t="s">
        <v>130</v>
      </c>
      <c r="K872" s="197"/>
      <c r="L872" s="196"/>
      <c r="M872" s="429" t="s">
        <v>88</v>
      </c>
      <c r="N872" s="429" t="s">
        <v>25</v>
      </c>
      <c r="O872" s="429" t="s">
        <v>54</v>
      </c>
      <c r="P872" s="322" t="s">
        <v>52</v>
      </c>
      <c r="Q872" s="197"/>
      <c r="R872" s="419"/>
    </row>
    <row r="873" spans="1:18" ht="15" customHeight="1" x14ac:dyDescent="0.2">
      <c r="A873" s="424"/>
      <c r="B873" s="437"/>
      <c r="C873" s="63"/>
      <c r="D873" s="473" t="s">
        <v>278</v>
      </c>
      <c r="E873" s="171"/>
      <c r="F873" s="82"/>
      <c r="G873" s="152"/>
      <c r="H873" s="76"/>
      <c r="I873" s="166"/>
      <c r="J873" s="160"/>
      <c r="K873" s="438"/>
      <c r="L873" s="437"/>
      <c r="M873" s="256"/>
      <c r="N873" s="82"/>
      <c r="O873" s="152"/>
      <c r="P873" s="31"/>
      <c r="Q873" s="438"/>
      <c r="R873" s="424"/>
    </row>
    <row r="874" spans="1:18" ht="15" customHeight="1" x14ac:dyDescent="0.2">
      <c r="A874" s="424"/>
      <c r="B874" s="437"/>
      <c r="C874" s="63"/>
      <c r="D874" s="542" t="s">
        <v>279</v>
      </c>
      <c r="E874" s="223"/>
      <c r="F874" s="85"/>
      <c r="G874" s="105"/>
      <c r="H874" s="32"/>
      <c r="I874" s="164"/>
      <c r="J874" s="79"/>
      <c r="K874" s="438"/>
      <c r="L874" s="437"/>
      <c r="M874" s="108"/>
      <c r="N874" s="34"/>
      <c r="O874" s="105"/>
      <c r="P874" s="31"/>
      <c r="Q874" s="438"/>
      <c r="R874" s="424"/>
    </row>
    <row r="875" spans="1:18" ht="15" customHeight="1" x14ac:dyDescent="0.2">
      <c r="A875" s="424"/>
      <c r="B875" s="437"/>
      <c r="C875" s="63"/>
      <c r="D875" s="543"/>
      <c r="E875" s="289"/>
      <c r="F875" s="123"/>
      <c r="G875" s="29"/>
      <c r="H875" s="32"/>
      <c r="I875" s="164"/>
      <c r="J875" s="79"/>
      <c r="K875" s="438"/>
      <c r="L875" s="437"/>
      <c r="M875" s="109"/>
      <c r="N875" s="110"/>
      <c r="O875" s="29"/>
      <c r="P875" s="31"/>
      <c r="Q875" s="438"/>
      <c r="R875" s="424"/>
    </row>
    <row r="876" spans="1:18" ht="15.95" customHeight="1" x14ac:dyDescent="0.2">
      <c r="A876" s="424"/>
      <c r="B876" s="437"/>
      <c r="C876" s="63"/>
      <c r="D876" s="544"/>
      <c r="E876" s="90" t="s">
        <v>60</v>
      </c>
      <c r="F876" s="83">
        <v>1000000</v>
      </c>
      <c r="G876" s="28">
        <v>7</v>
      </c>
      <c r="H876" s="28">
        <f>F876*G876</f>
        <v>7000000</v>
      </c>
      <c r="I876" s="93">
        <f>H876*21%</f>
        <v>1470000</v>
      </c>
      <c r="J876" s="93">
        <f>H876+I876</f>
        <v>8470000</v>
      </c>
      <c r="K876" s="438"/>
      <c r="L876" s="437"/>
      <c r="M876" s="28"/>
      <c r="N876" s="28">
        <f>H876-M876</f>
        <v>7000000</v>
      </c>
      <c r="O876" s="28"/>
      <c r="P876" s="31"/>
      <c r="Q876" s="438"/>
      <c r="R876" s="424"/>
    </row>
    <row r="877" spans="1:18" ht="15" customHeight="1" x14ac:dyDescent="0.2">
      <c r="A877" s="424"/>
      <c r="B877" s="437"/>
      <c r="C877" s="63"/>
      <c r="D877" s="260" t="s">
        <v>113</v>
      </c>
      <c r="E877" s="171"/>
      <c r="F877" s="82"/>
      <c r="G877" s="152"/>
      <c r="H877" s="76"/>
      <c r="I877" s="166"/>
      <c r="J877" s="160"/>
      <c r="K877" s="438"/>
      <c r="L877" s="437"/>
      <c r="M877" s="256"/>
      <c r="N877" s="82"/>
      <c r="O877" s="152"/>
      <c r="P877" s="31"/>
      <c r="Q877" s="438"/>
      <c r="R877" s="424"/>
    </row>
    <row r="878" spans="1:18" ht="15" customHeight="1" x14ac:dyDescent="0.2">
      <c r="A878" s="424"/>
      <c r="B878" s="437"/>
      <c r="C878" s="63"/>
      <c r="D878" s="363" t="s">
        <v>352</v>
      </c>
      <c r="E878" s="223"/>
      <c r="F878" s="85"/>
      <c r="G878" s="105"/>
      <c r="H878" s="32"/>
      <c r="I878" s="164"/>
      <c r="J878" s="79"/>
      <c r="K878" s="438"/>
      <c r="L878" s="437"/>
      <c r="M878" s="108"/>
      <c r="N878" s="34"/>
      <c r="O878" s="105"/>
      <c r="P878" s="31"/>
      <c r="Q878" s="438"/>
      <c r="R878" s="424"/>
    </row>
    <row r="879" spans="1:18" ht="15" customHeight="1" x14ac:dyDescent="0.2">
      <c r="A879" s="424"/>
      <c r="B879" s="437"/>
      <c r="C879" s="63"/>
      <c r="D879" s="363" t="s">
        <v>280</v>
      </c>
      <c r="E879" s="223"/>
      <c r="F879" s="85"/>
      <c r="G879" s="105"/>
      <c r="H879" s="32"/>
      <c r="I879" s="164"/>
      <c r="J879" s="79"/>
      <c r="K879" s="438"/>
      <c r="L879" s="437"/>
      <c r="M879" s="109"/>
      <c r="N879" s="110"/>
      <c r="O879" s="29"/>
      <c r="P879" s="31"/>
      <c r="Q879" s="438"/>
      <c r="R879" s="424"/>
    </row>
    <row r="880" spans="1:18" ht="15" customHeight="1" x14ac:dyDescent="0.2">
      <c r="A880" s="424"/>
      <c r="B880" s="437"/>
      <c r="C880" s="63"/>
      <c r="D880" s="288"/>
      <c r="E880" s="90" t="s">
        <v>60</v>
      </c>
      <c r="F880" s="83">
        <v>400000</v>
      </c>
      <c r="G880" s="28">
        <v>4</v>
      </c>
      <c r="H880" s="28">
        <f>F880*G880</f>
        <v>1600000</v>
      </c>
      <c r="I880" s="93">
        <f>H880*21%</f>
        <v>336000</v>
      </c>
      <c r="J880" s="93">
        <f>H880+I880</f>
        <v>1936000</v>
      </c>
      <c r="K880" s="438"/>
      <c r="L880" s="437"/>
      <c r="M880" s="28"/>
      <c r="N880" s="28"/>
      <c r="O880" s="28"/>
      <c r="P880" s="31"/>
      <c r="Q880" s="438"/>
      <c r="R880" s="424"/>
    </row>
    <row r="881" spans="1:20" ht="15" customHeight="1" x14ac:dyDescent="0.2">
      <c r="A881" s="424"/>
      <c r="B881" s="437"/>
      <c r="C881" s="63"/>
      <c r="D881" s="473" t="s">
        <v>114</v>
      </c>
      <c r="E881" s="171"/>
      <c r="F881" s="82"/>
      <c r="G881" s="152"/>
      <c r="H881" s="76"/>
      <c r="I881" s="166"/>
      <c r="J881" s="160"/>
      <c r="K881" s="438"/>
      <c r="L881" s="437"/>
      <c r="M881" s="256"/>
      <c r="N881" s="82"/>
      <c r="O881" s="152"/>
      <c r="P881" s="31"/>
      <c r="Q881" s="438"/>
      <c r="R881" s="424"/>
    </row>
    <row r="882" spans="1:20" ht="15" customHeight="1" x14ac:dyDescent="0.2">
      <c r="A882" s="424"/>
      <c r="B882" s="437"/>
      <c r="C882" s="63"/>
      <c r="D882" s="75" t="s">
        <v>315</v>
      </c>
      <c r="E882" s="223"/>
      <c r="F882" s="85"/>
      <c r="G882" s="105"/>
      <c r="H882" s="32"/>
      <c r="I882" s="164"/>
      <c r="J882" s="79"/>
      <c r="K882" s="438"/>
      <c r="L882" s="437"/>
      <c r="M882" s="108"/>
      <c r="N882" s="34"/>
      <c r="O882" s="105"/>
      <c r="P882" s="31"/>
      <c r="Q882" s="438"/>
      <c r="R882" s="424"/>
    </row>
    <row r="883" spans="1:20" ht="15" customHeight="1" x14ac:dyDescent="0.2">
      <c r="A883" s="424"/>
      <c r="B883" s="437"/>
      <c r="C883" s="63"/>
      <c r="D883" s="75" t="s">
        <v>316</v>
      </c>
      <c r="E883" s="289"/>
      <c r="F883" s="123"/>
      <c r="G883" s="105"/>
      <c r="H883" s="32"/>
      <c r="I883" s="165"/>
      <c r="J883" s="80"/>
      <c r="K883" s="438"/>
      <c r="L883" s="437"/>
      <c r="M883" s="109"/>
      <c r="N883" s="110"/>
      <c r="O883" s="29"/>
      <c r="P883" s="31"/>
      <c r="Q883" s="438"/>
      <c r="R883" s="424"/>
    </row>
    <row r="884" spans="1:20" ht="15" customHeight="1" x14ac:dyDescent="0.2">
      <c r="A884" s="424"/>
      <c r="B884" s="437"/>
      <c r="C884" s="63"/>
      <c r="D884" s="461" t="s">
        <v>317</v>
      </c>
      <c r="E884" s="90" t="s">
        <v>60</v>
      </c>
      <c r="F884" s="83">
        <v>480000</v>
      </c>
      <c r="G884" s="62">
        <v>5</v>
      </c>
      <c r="H884" s="28">
        <f>F884*G884</f>
        <v>2400000</v>
      </c>
      <c r="I884" s="93">
        <f>H884*21%</f>
        <v>504000</v>
      </c>
      <c r="J884" s="93">
        <f>H884+I884</f>
        <v>2904000</v>
      </c>
      <c r="K884" s="438"/>
      <c r="L884" s="437"/>
      <c r="M884" s="28"/>
      <c r="N884" s="28">
        <f>H884-M884</f>
        <v>2400000</v>
      </c>
      <c r="O884" s="28"/>
      <c r="P884" s="31"/>
      <c r="Q884" s="438"/>
      <c r="R884" s="424"/>
    </row>
    <row r="885" spans="1:20" ht="15" customHeight="1" x14ac:dyDescent="0.2">
      <c r="A885" s="424"/>
      <c r="B885" s="437"/>
      <c r="C885" s="63"/>
      <c r="D885" s="261" t="s">
        <v>319</v>
      </c>
      <c r="E885" s="171"/>
      <c r="F885" s="82"/>
      <c r="G885" s="152"/>
      <c r="H885" s="76"/>
      <c r="I885" s="164"/>
      <c r="J885" s="79"/>
      <c r="K885" s="438"/>
      <c r="L885" s="437"/>
      <c r="M885" s="256"/>
      <c r="N885" s="82"/>
      <c r="O885" s="152"/>
      <c r="P885" s="31"/>
      <c r="Q885" s="438"/>
      <c r="R885" s="424"/>
      <c r="T885" s="290"/>
    </row>
    <row r="886" spans="1:20" ht="15" customHeight="1" x14ac:dyDescent="0.2">
      <c r="A886" s="424"/>
      <c r="B886" s="437"/>
      <c r="C886" s="63"/>
      <c r="D886" s="363" t="s">
        <v>318</v>
      </c>
      <c r="E886" s="223"/>
      <c r="F886" s="85"/>
      <c r="G886" s="105"/>
      <c r="H886" s="32"/>
      <c r="I886" s="164"/>
      <c r="J886" s="79"/>
      <c r="K886" s="438"/>
      <c r="L886" s="437"/>
      <c r="M886" s="108"/>
      <c r="N886" s="34"/>
      <c r="O886" s="105"/>
      <c r="P886" s="31"/>
      <c r="Q886" s="438"/>
      <c r="R886" s="424"/>
    </row>
    <row r="887" spans="1:20" ht="15" customHeight="1" x14ac:dyDescent="0.2">
      <c r="A887" s="424"/>
      <c r="B887" s="437"/>
      <c r="C887" s="63"/>
      <c r="D887" s="363" t="s">
        <v>267</v>
      </c>
      <c r="E887" s="90" t="s">
        <v>205</v>
      </c>
      <c r="F887" s="83">
        <v>50000</v>
      </c>
      <c r="G887" s="28">
        <v>16</v>
      </c>
      <c r="H887" s="28">
        <f>F887*G887</f>
        <v>800000</v>
      </c>
      <c r="I887" s="93">
        <f>H887*21%</f>
        <v>168000</v>
      </c>
      <c r="J887" s="93">
        <f>H887+I887</f>
        <v>968000</v>
      </c>
      <c r="K887" s="438"/>
      <c r="L887" s="437"/>
      <c r="M887" s="109"/>
      <c r="N887" s="110"/>
      <c r="O887" s="29"/>
      <c r="P887" s="31"/>
      <c r="Q887" s="438"/>
      <c r="R887" s="424"/>
    </row>
    <row r="888" spans="1:20" s="172" customFormat="1" ht="15" customHeight="1" x14ac:dyDescent="0.2">
      <c r="A888" s="416"/>
      <c r="B888" s="409"/>
      <c r="C888" s="64"/>
      <c r="D888" s="260" t="s">
        <v>31</v>
      </c>
      <c r="E888" s="223"/>
      <c r="F888" s="224"/>
      <c r="G888" s="111"/>
      <c r="H888" s="85"/>
      <c r="I888" s="166"/>
      <c r="J888" s="160"/>
      <c r="K888" s="410"/>
      <c r="L888" s="409"/>
      <c r="M888" s="227"/>
      <c r="N888" s="228"/>
      <c r="O888" s="229"/>
      <c r="P888" s="31"/>
      <c r="Q888" s="410"/>
      <c r="R888" s="416"/>
    </row>
    <row r="889" spans="1:20" ht="15" customHeight="1" x14ac:dyDescent="0.2">
      <c r="A889" s="424"/>
      <c r="B889" s="437"/>
      <c r="C889" s="63"/>
      <c r="D889" s="363" t="s">
        <v>292</v>
      </c>
      <c r="E889" s="223"/>
      <c r="F889" s="85"/>
      <c r="G889" s="105"/>
      <c r="H889" s="32"/>
      <c r="I889" s="164"/>
      <c r="J889" s="79"/>
      <c r="K889" s="438"/>
      <c r="L889" s="437"/>
      <c r="M889" s="256"/>
      <c r="N889" s="82"/>
      <c r="O889" s="152"/>
      <c r="P889" s="31"/>
      <c r="Q889" s="438"/>
      <c r="R889" s="424"/>
    </row>
    <row r="890" spans="1:20" ht="15" customHeight="1" x14ac:dyDescent="0.2">
      <c r="A890" s="424"/>
      <c r="B890" s="437"/>
      <c r="C890" s="63"/>
      <c r="D890" s="75" t="s">
        <v>293</v>
      </c>
      <c r="E890" s="223"/>
      <c r="F890" s="85"/>
      <c r="G890" s="105"/>
      <c r="H890" s="32"/>
      <c r="I890" s="164"/>
      <c r="J890" s="79"/>
      <c r="K890" s="438"/>
      <c r="L890" s="437"/>
      <c r="M890" s="223"/>
      <c r="N890" s="85"/>
      <c r="O890" s="111"/>
      <c r="P890" s="31"/>
      <c r="Q890" s="438"/>
      <c r="R890" s="424"/>
    </row>
    <row r="891" spans="1:20" ht="15" customHeight="1" x14ac:dyDescent="0.2">
      <c r="A891" s="424"/>
      <c r="B891" s="437"/>
      <c r="C891" s="63"/>
      <c r="D891" s="363" t="s">
        <v>294</v>
      </c>
      <c r="E891" s="223"/>
      <c r="F891" s="85"/>
      <c r="G891" s="105"/>
      <c r="H891" s="32"/>
      <c r="I891" s="164"/>
      <c r="J891" s="79"/>
      <c r="K891" s="438"/>
      <c r="L891" s="437"/>
      <c r="M891" s="109"/>
      <c r="N891" s="110"/>
      <c r="O891" s="29"/>
      <c r="P891" s="31"/>
      <c r="Q891" s="438"/>
      <c r="R891" s="424"/>
    </row>
    <row r="892" spans="1:20" ht="15" customHeight="1" x14ac:dyDescent="0.2">
      <c r="A892" s="424"/>
      <c r="B892" s="437"/>
      <c r="C892" s="63"/>
      <c r="D892" s="363" t="s">
        <v>295</v>
      </c>
      <c r="E892" s="77" t="s">
        <v>60</v>
      </c>
      <c r="F892" s="83">
        <v>82500</v>
      </c>
      <c r="G892" s="28">
        <v>4</v>
      </c>
      <c r="H892" s="28">
        <f>F892*G892</f>
        <v>330000</v>
      </c>
      <c r="I892" s="93">
        <f>H892*21%</f>
        <v>69300</v>
      </c>
      <c r="J892" s="93">
        <f>H892+I892</f>
        <v>399300</v>
      </c>
      <c r="K892" s="438"/>
      <c r="L892" s="437"/>
      <c r="M892" s="28"/>
      <c r="N892" s="28">
        <f>H892</f>
        <v>330000</v>
      </c>
      <c r="O892" s="28"/>
      <c r="P892" s="31"/>
      <c r="Q892" s="438"/>
      <c r="R892" s="424"/>
    </row>
    <row r="893" spans="1:20" s="51" customFormat="1" ht="15" customHeight="1" x14ac:dyDescent="0.2">
      <c r="A893" s="424"/>
      <c r="B893" s="432"/>
      <c r="C893" s="140">
        <f>SUM(C873:C892)</f>
        <v>0</v>
      </c>
      <c r="D893" s="375" t="s">
        <v>296</v>
      </c>
      <c r="E893" s="102"/>
      <c r="F893" s="532" t="s">
        <v>17</v>
      </c>
      <c r="G893" s="533"/>
      <c r="H893" s="332">
        <f>SUM(H892+H887+H884+H880+H876)</f>
        <v>12130000</v>
      </c>
      <c r="I893" s="420">
        <f>SUM(I892+I887+I884+I880+I876)</f>
        <v>2547300</v>
      </c>
      <c r="J893" s="420">
        <f>SUM(J892+J887+J884+J880+J876)</f>
        <v>14677300</v>
      </c>
      <c r="K893" s="433"/>
      <c r="L893" s="432"/>
      <c r="M893" s="421"/>
      <c r="N893" s="422">
        <f>SUM(N875:N892)</f>
        <v>9730000</v>
      </c>
      <c r="O893" s="423">
        <f>SUM(O873:O892)</f>
        <v>0</v>
      </c>
      <c r="P893" s="333">
        <f>SUM(M893:O893)</f>
        <v>9730000</v>
      </c>
      <c r="Q893" s="433"/>
      <c r="R893" s="419"/>
    </row>
    <row r="894" spans="1:20" s="51" customFormat="1" ht="15" customHeight="1" x14ac:dyDescent="0.2">
      <c r="A894" s="419"/>
      <c r="B894" s="454"/>
      <c r="C894" s="455"/>
      <c r="D894" s="139"/>
      <c r="E894" s="102"/>
      <c r="F894" s="283"/>
      <c r="G894" s="283"/>
      <c r="H894" s="284"/>
      <c r="I894" s="284"/>
      <c r="J894" s="284"/>
      <c r="K894" s="456"/>
      <c r="L894" s="454"/>
      <c r="M894" s="286"/>
      <c r="N894" s="286"/>
      <c r="O894" s="286"/>
      <c r="P894" s="286"/>
      <c r="Q894" s="456"/>
      <c r="R894" s="419"/>
    </row>
    <row r="895" spans="1:20" s="49" customFormat="1" ht="30" customHeight="1" x14ac:dyDescent="0.2">
      <c r="A895" s="269"/>
      <c r="B895" s="184"/>
      <c r="C895" s="65"/>
      <c r="D895" s="6"/>
      <c r="E895" s="7"/>
      <c r="F895" s="8"/>
      <c r="G895" s="8"/>
      <c r="H895" s="9"/>
      <c r="I895" s="50"/>
      <c r="J895" s="50"/>
      <c r="K895" s="185"/>
      <c r="L895" s="184"/>
      <c r="M895" s="54"/>
      <c r="N895" s="54"/>
      <c r="O895" s="54"/>
      <c r="P895" s="55"/>
      <c r="Q895" s="185"/>
      <c r="R895" s="269"/>
    </row>
    <row r="896" spans="1:20" s="51" customFormat="1" ht="15" customHeight="1" x14ac:dyDescent="0.2">
      <c r="A896" s="273"/>
      <c r="B896" s="196"/>
      <c r="C896" s="295">
        <v>18</v>
      </c>
      <c r="D896" s="300" t="s">
        <v>327</v>
      </c>
      <c r="E896" s="323" t="s">
        <v>74</v>
      </c>
      <c r="F896" s="324" t="s">
        <v>38</v>
      </c>
      <c r="G896" s="325" t="s">
        <v>39</v>
      </c>
      <c r="H896" s="321" t="s">
        <v>52</v>
      </c>
      <c r="I896" s="326" t="s">
        <v>55</v>
      </c>
      <c r="J896" s="326" t="s">
        <v>130</v>
      </c>
      <c r="K896" s="197"/>
      <c r="L896" s="196"/>
      <c r="M896" s="327" t="s">
        <v>88</v>
      </c>
      <c r="N896" s="327" t="s">
        <v>25</v>
      </c>
      <c r="O896" s="327" t="s">
        <v>54</v>
      </c>
      <c r="P896" s="322" t="s">
        <v>52</v>
      </c>
      <c r="Q896" s="197"/>
      <c r="R896" s="273"/>
    </row>
    <row r="897" spans="1:20" ht="15" customHeight="1" x14ac:dyDescent="0.2">
      <c r="A897" s="459"/>
      <c r="B897" s="437"/>
      <c r="C897" s="63"/>
      <c r="D897" s="260" t="s">
        <v>285</v>
      </c>
      <c r="E897" s="171"/>
      <c r="F897" s="82"/>
      <c r="G897" s="152"/>
      <c r="H897" s="76"/>
      <c r="I897" s="166"/>
      <c r="J897" s="160"/>
      <c r="K897" s="438"/>
      <c r="L897" s="437"/>
      <c r="M897" s="256"/>
      <c r="N897" s="82"/>
      <c r="O897" s="152"/>
      <c r="P897" s="31"/>
      <c r="Q897" s="438"/>
      <c r="R897" s="459"/>
    </row>
    <row r="898" spans="1:20" ht="15" customHeight="1" x14ac:dyDescent="0.2">
      <c r="A898" s="459"/>
      <c r="B898" s="437"/>
      <c r="C898" s="63"/>
      <c r="D898" s="363" t="s">
        <v>353</v>
      </c>
      <c r="E898" s="223"/>
      <c r="F898" s="85"/>
      <c r="G898" s="105"/>
      <c r="H898" s="32"/>
      <c r="I898" s="164"/>
      <c r="J898" s="79"/>
      <c r="K898" s="438"/>
      <c r="L898" s="437"/>
      <c r="M898" s="108"/>
      <c r="N898" s="34"/>
      <c r="O898" s="105"/>
      <c r="P898" s="31"/>
      <c r="Q898" s="438"/>
      <c r="R898" s="459"/>
    </row>
    <row r="899" spans="1:20" ht="15" customHeight="1" x14ac:dyDescent="0.2">
      <c r="A899" s="459"/>
      <c r="B899" s="437"/>
      <c r="C899" s="63"/>
      <c r="D899" s="363" t="s">
        <v>286</v>
      </c>
      <c r="E899" s="223"/>
      <c r="F899" s="85"/>
      <c r="G899" s="105"/>
      <c r="H899" s="32"/>
      <c r="I899" s="164"/>
      <c r="J899" s="79"/>
      <c r="K899" s="438"/>
      <c r="L899" s="437"/>
      <c r="M899" s="109"/>
      <c r="N899" s="110"/>
      <c r="O899" s="29"/>
      <c r="P899" s="31"/>
      <c r="Q899" s="438"/>
      <c r="R899" s="459"/>
    </row>
    <row r="900" spans="1:20" ht="15" customHeight="1" x14ac:dyDescent="0.2">
      <c r="A900" s="459"/>
      <c r="B900" s="437"/>
      <c r="C900" s="63"/>
      <c r="D900" s="460" t="s">
        <v>287</v>
      </c>
      <c r="E900" s="90" t="s">
        <v>60</v>
      </c>
      <c r="F900" s="83">
        <v>300000</v>
      </c>
      <c r="G900" s="28">
        <v>4</v>
      </c>
      <c r="H900" s="28">
        <f>F900*G900</f>
        <v>1200000</v>
      </c>
      <c r="I900" s="93">
        <f>H900*21%</f>
        <v>252000</v>
      </c>
      <c r="J900" s="93">
        <f>H900+I900</f>
        <v>1452000</v>
      </c>
      <c r="K900" s="438"/>
      <c r="L900" s="437"/>
      <c r="M900" s="28">
        <f>H900/6</f>
        <v>200000</v>
      </c>
      <c r="N900" s="28">
        <f>H900-M900</f>
        <v>1000000</v>
      </c>
      <c r="O900" s="28"/>
      <c r="P900" s="31"/>
      <c r="Q900" s="438"/>
      <c r="R900" s="459"/>
    </row>
    <row r="901" spans="1:20" ht="15" customHeight="1" x14ac:dyDescent="0.2">
      <c r="A901" s="459"/>
      <c r="B901" s="437"/>
      <c r="C901" s="63"/>
      <c r="D901" s="261" t="s">
        <v>221</v>
      </c>
      <c r="E901" s="171"/>
      <c r="F901" s="82"/>
      <c r="G901" s="152"/>
      <c r="H901" s="76"/>
      <c r="I901" s="166"/>
      <c r="J901" s="160"/>
      <c r="K901" s="438"/>
      <c r="L901" s="437"/>
      <c r="M901" s="256"/>
      <c r="N901" s="82"/>
      <c r="O901" s="152"/>
      <c r="P901" s="31"/>
      <c r="Q901" s="438"/>
      <c r="R901" s="459"/>
    </row>
    <row r="902" spans="1:20" ht="15" customHeight="1" x14ac:dyDescent="0.2">
      <c r="A902" s="459"/>
      <c r="B902" s="437"/>
      <c r="C902" s="63"/>
      <c r="D902" s="542" t="s">
        <v>222</v>
      </c>
      <c r="E902" s="223"/>
      <c r="F902" s="85"/>
      <c r="G902" s="105"/>
      <c r="H902" s="32"/>
      <c r="I902" s="164"/>
      <c r="J902" s="79"/>
      <c r="K902" s="438"/>
      <c r="L902" s="437"/>
      <c r="M902" s="108"/>
      <c r="N902" s="34"/>
      <c r="O902" s="105"/>
      <c r="P902" s="31"/>
      <c r="Q902" s="438"/>
      <c r="R902" s="459"/>
    </row>
    <row r="903" spans="1:20" ht="15" customHeight="1" x14ac:dyDescent="0.2">
      <c r="A903" s="459"/>
      <c r="B903" s="437"/>
      <c r="C903" s="63"/>
      <c r="D903" s="543"/>
      <c r="E903" s="289"/>
      <c r="F903" s="123"/>
      <c r="G903" s="29"/>
      <c r="H903" s="32"/>
      <c r="I903" s="164"/>
      <c r="J903" s="79"/>
      <c r="K903" s="438"/>
      <c r="L903" s="437"/>
      <c r="M903" s="109"/>
      <c r="N903" s="110"/>
      <c r="O903" s="29"/>
      <c r="P903" s="31"/>
      <c r="Q903" s="438"/>
      <c r="R903" s="459"/>
    </row>
    <row r="904" spans="1:20" ht="69.95" customHeight="1" x14ac:dyDescent="0.2">
      <c r="A904" s="459"/>
      <c r="B904" s="437"/>
      <c r="C904" s="63"/>
      <c r="D904" s="544"/>
      <c r="E904" s="90" t="s">
        <v>205</v>
      </c>
      <c r="F904" s="83">
        <v>12000</v>
      </c>
      <c r="G904" s="28">
        <v>16</v>
      </c>
      <c r="H904" s="28">
        <f>F904*G904</f>
        <v>192000</v>
      </c>
      <c r="I904" s="93">
        <f>H904*21%</f>
        <v>40320</v>
      </c>
      <c r="J904" s="93">
        <f>H904+I904</f>
        <v>232320</v>
      </c>
      <c r="K904" s="438"/>
      <c r="L904" s="437"/>
      <c r="M904" s="28">
        <f>H904/6</f>
        <v>32000</v>
      </c>
      <c r="N904" s="28">
        <f>H904-M904</f>
        <v>160000</v>
      </c>
      <c r="O904" s="28"/>
      <c r="P904" s="31"/>
      <c r="Q904" s="438"/>
      <c r="R904" s="459"/>
    </row>
    <row r="905" spans="1:20" ht="15" customHeight="1" x14ac:dyDescent="0.2">
      <c r="A905" s="459"/>
      <c r="B905" s="437"/>
      <c r="C905" s="63"/>
      <c r="D905" s="261" t="s">
        <v>114</v>
      </c>
      <c r="E905" s="171"/>
      <c r="F905" s="82"/>
      <c r="G905" s="152"/>
      <c r="H905" s="76"/>
      <c r="I905" s="166"/>
      <c r="J905" s="160"/>
      <c r="K905" s="438"/>
      <c r="L905" s="437"/>
      <c r="M905" s="256"/>
      <c r="N905" s="82"/>
      <c r="O905" s="152"/>
      <c r="P905" s="31"/>
      <c r="Q905" s="438"/>
      <c r="R905" s="459"/>
    </row>
    <row r="906" spans="1:20" ht="15" customHeight="1" x14ac:dyDescent="0.2">
      <c r="A906" s="459"/>
      <c r="B906" s="437"/>
      <c r="C906" s="63"/>
      <c r="D906" s="75" t="s">
        <v>288</v>
      </c>
      <c r="E906" s="223"/>
      <c r="F906" s="85"/>
      <c r="G906" s="105"/>
      <c r="H906" s="32"/>
      <c r="I906" s="164"/>
      <c r="J906" s="79"/>
      <c r="K906" s="438"/>
      <c r="L906" s="437"/>
      <c r="M906" s="108"/>
      <c r="N906" s="34"/>
      <c r="O906" s="105"/>
      <c r="P906" s="31"/>
      <c r="Q906" s="438"/>
      <c r="R906" s="459"/>
    </row>
    <row r="907" spans="1:20" ht="15" customHeight="1" x14ac:dyDescent="0.2">
      <c r="A907" s="459"/>
      <c r="B907" s="437"/>
      <c r="C907" s="63"/>
      <c r="D907" s="75" t="s">
        <v>289</v>
      </c>
      <c r="E907" s="289"/>
      <c r="F907" s="123"/>
      <c r="G907" s="105"/>
      <c r="H907" s="32"/>
      <c r="I907" s="165"/>
      <c r="J907" s="80"/>
      <c r="K907" s="438"/>
      <c r="L907" s="437"/>
      <c r="M907" s="109"/>
      <c r="N907" s="110"/>
      <c r="O907" s="29"/>
      <c r="P907" s="31"/>
      <c r="Q907" s="438"/>
      <c r="R907" s="459"/>
    </row>
    <row r="908" spans="1:20" ht="15" customHeight="1" x14ac:dyDescent="0.2">
      <c r="A908" s="459"/>
      <c r="B908" s="437"/>
      <c r="C908" s="63"/>
      <c r="D908" s="461" t="s">
        <v>290</v>
      </c>
      <c r="E908" s="90" t="s">
        <v>205</v>
      </c>
      <c r="F908" s="83">
        <v>120000</v>
      </c>
      <c r="G908" s="28">
        <v>16</v>
      </c>
      <c r="H908" s="28">
        <f>F908*G908</f>
        <v>1920000</v>
      </c>
      <c r="I908" s="93">
        <f>H908*21%</f>
        <v>403200</v>
      </c>
      <c r="J908" s="93">
        <f>H908+I908</f>
        <v>2323200</v>
      </c>
      <c r="K908" s="438"/>
      <c r="L908" s="437"/>
      <c r="M908" s="28">
        <f>H908/6</f>
        <v>320000</v>
      </c>
      <c r="N908" s="28">
        <f>H908-M908</f>
        <v>1600000</v>
      </c>
      <c r="O908" s="28"/>
      <c r="P908" s="31"/>
      <c r="Q908" s="438"/>
      <c r="R908" s="459"/>
    </row>
    <row r="909" spans="1:20" ht="15" customHeight="1" x14ac:dyDescent="0.2">
      <c r="A909" s="459"/>
      <c r="B909" s="437"/>
      <c r="C909" s="63"/>
      <c r="D909" s="261" t="s">
        <v>319</v>
      </c>
      <c r="E909" s="171"/>
      <c r="F909" s="82"/>
      <c r="G909" s="152"/>
      <c r="H909" s="76"/>
      <c r="I909" s="164"/>
      <c r="J909" s="79"/>
      <c r="K909" s="438"/>
      <c r="L909" s="437"/>
      <c r="M909" s="256"/>
      <c r="N909" s="82"/>
      <c r="O909" s="152"/>
      <c r="P909" s="31"/>
      <c r="Q909" s="438"/>
      <c r="R909" s="459"/>
      <c r="T909" s="290"/>
    </row>
    <row r="910" spans="1:20" ht="15" customHeight="1" x14ac:dyDescent="0.2">
      <c r="A910" s="459"/>
      <c r="B910" s="437"/>
      <c r="C910" s="63"/>
      <c r="D910" s="363" t="s">
        <v>291</v>
      </c>
      <c r="E910" s="223"/>
      <c r="F910" s="85"/>
      <c r="G910" s="105"/>
      <c r="H910" s="32"/>
      <c r="I910" s="164"/>
      <c r="J910" s="79"/>
      <c r="K910" s="438"/>
      <c r="L910" s="437"/>
      <c r="M910" s="108"/>
      <c r="N910" s="34"/>
      <c r="O910" s="105"/>
      <c r="P910" s="31"/>
      <c r="Q910" s="438"/>
      <c r="R910" s="459"/>
    </row>
    <row r="911" spans="1:20" ht="15" customHeight="1" x14ac:dyDescent="0.2">
      <c r="A911" s="459"/>
      <c r="B911" s="437"/>
      <c r="C911" s="63"/>
      <c r="D911" s="363" t="s">
        <v>267</v>
      </c>
      <c r="E911" s="90" t="s">
        <v>205</v>
      </c>
      <c r="F911" s="83">
        <v>10500</v>
      </c>
      <c r="G911" s="28">
        <v>16</v>
      </c>
      <c r="H911" s="28">
        <f>F911*G911</f>
        <v>168000</v>
      </c>
      <c r="I911" s="93">
        <f>H911*21%</f>
        <v>35280</v>
      </c>
      <c r="J911" s="93">
        <f>H911+I911</f>
        <v>203280</v>
      </c>
      <c r="K911" s="438"/>
      <c r="L911" s="437"/>
      <c r="M911" s="109"/>
      <c r="N911" s="110"/>
      <c r="O911" s="29"/>
      <c r="P911" s="31"/>
      <c r="Q911" s="438"/>
      <c r="R911" s="459"/>
    </row>
    <row r="912" spans="1:20" ht="15" customHeight="1" x14ac:dyDescent="0.2">
      <c r="A912" s="459"/>
      <c r="B912" s="437"/>
      <c r="C912" s="63"/>
      <c r="D912" s="265" t="s">
        <v>140</v>
      </c>
      <c r="E912" s="149"/>
      <c r="F912" s="78"/>
      <c r="G912" s="152"/>
      <c r="H912" s="28"/>
      <c r="I912" s="169"/>
      <c r="J912" s="92"/>
      <c r="K912" s="438"/>
      <c r="L912" s="437"/>
      <c r="M912" s="149"/>
      <c r="N912" s="78"/>
      <c r="O912" s="152"/>
      <c r="P912" s="118"/>
      <c r="Q912" s="438"/>
      <c r="R912" s="459"/>
    </row>
    <row r="913" spans="1:18" ht="15" customHeight="1" x14ac:dyDescent="0.2">
      <c r="A913" s="459"/>
      <c r="B913" s="437"/>
      <c r="C913" s="63"/>
      <c r="D913" s="116" t="s">
        <v>298</v>
      </c>
      <c r="E913" s="77" t="s">
        <v>201</v>
      </c>
      <c r="F913" s="28">
        <v>50000</v>
      </c>
      <c r="G913" s="402">
        <v>1</v>
      </c>
      <c r="H913" s="28">
        <f>+F913*G913</f>
        <v>50000</v>
      </c>
      <c r="I913" s="93">
        <f>H913*21%</f>
        <v>10500</v>
      </c>
      <c r="J913" s="93">
        <f>H913+I913</f>
        <v>60500</v>
      </c>
      <c r="K913" s="438"/>
      <c r="L913" s="437"/>
      <c r="M913" s="28"/>
      <c r="N913" s="28"/>
      <c r="O913" s="28">
        <f>H913</f>
        <v>50000</v>
      </c>
      <c r="P913" s="31"/>
      <c r="Q913" s="438"/>
      <c r="R913" s="459"/>
    </row>
    <row r="914" spans="1:18" s="172" customFormat="1" ht="15" customHeight="1" x14ac:dyDescent="0.2">
      <c r="A914" s="462"/>
      <c r="B914" s="409"/>
      <c r="C914" s="64"/>
      <c r="D914" s="260" t="s">
        <v>31</v>
      </c>
      <c r="E914" s="223"/>
      <c r="F914" s="224"/>
      <c r="G914" s="111"/>
      <c r="H914" s="85"/>
      <c r="I914" s="166"/>
      <c r="J914" s="160"/>
      <c r="K914" s="410"/>
      <c r="L914" s="409"/>
      <c r="M914" s="227"/>
      <c r="N914" s="228"/>
      <c r="O914" s="229"/>
      <c r="P914" s="31"/>
      <c r="Q914" s="410"/>
      <c r="R914" s="462"/>
    </row>
    <row r="915" spans="1:18" ht="15" customHeight="1" x14ac:dyDescent="0.2">
      <c r="A915" s="459"/>
      <c r="B915" s="437"/>
      <c r="C915" s="63"/>
      <c r="D915" s="363" t="s">
        <v>292</v>
      </c>
      <c r="E915" s="223"/>
      <c r="F915" s="85"/>
      <c r="G915" s="105"/>
      <c r="H915" s="32"/>
      <c r="I915" s="164"/>
      <c r="J915" s="79"/>
      <c r="K915" s="438"/>
      <c r="L915" s="437"/>
      <c r="M915" s="256"/>
      <c r="N915" s="82"/>
      <c r="O915" s="152"/>
      <c r="P915" s="31"/>
      <c r="Q915" s="438"/>
      <c r="R915" s="459"/>
    </row>
    <row r="916" spans="1:18" ht="15" customHeight="1" x14ac:dyDescent="0.2">
      <c r="A916" s="459"/>
      <c r="B916" s="437"/>
      <c r="C916" s="63"/>
      <c r="D916" s="75" t="s">
        <v>293</v>
      </c>
      <c r="E916" s="223"/>
      <c r="F916" s="85"/>
      <c r="G916" s="105"/>
      <c r="H916" s="32"/>
      <c r="I916" s="164"/>
      <c r="J916" s="79"/>
      <c r="K916" s="438"/>
      <c r="L916" s="437"/>
      <c r="M916" s="223"/>
      <c r="N916" s="85"/>
      <c r="O916" s="111"/>
      <c r="P916" s="31"/>
      <c r="Q916" s="438"/>
      <c r="R916" s="459"/>
    </row>
    <row r="917" spans="1:18" ht="15" customHeight="1" x14ac:dyDescent="0.2">
      <c r="A917" s="459"/>
      <c r="B917" s="437"/>
      <c r="C917" s="63"/>
      <c r="D917" s="363" t="s">
        <v>294</v>
      </c>
      <c r="E917" s="223"/>
      <c r="F917" s="85"/>
      <c r="G917" s="105"/>
      <c r="H917" s="32"/>
      <c r="I917" s="164"/>
      <c r="J917" s="79"/>
      <c r="K917" s="438"/>
      <c r="L917" s="437"/>
      <c r="M917" s="109"/>
      <c r="N917" s="110"/>
      <c r="O917" s="29"/>
      <c r="P917" s="31"/>
      <c r="Q917" s="438"/>
      <c r="R917" s="459"/>
    </row>
    <row r="918" spans="1:18" ht="15" customHeight="1" x14ac:dyDescent="0.2">
      <c r="A918" s="459"/>
      <c r="B918" s="457"/>
      <c r="C918" s="63"/>
      <c r="D918" s="363" t="s">
        <v>295</v>
      </c>
      <c r="E918" s="223"/>
      <c r="F918" s="85"/>
      <c r="G918" s="105"/>
      <c r="H918" s="32"/>
      <c r="I918" s="164"/>
      <c r="J918" s="79"/>
      <c r="K918" s="458"/>
      <c r="L918" s="457"/>
      <c r="M918" s="109"/>
      <c r="N918" s="110"/>
      <c r="O918" s="29"/>
      <c r="P918" s="31"/>
      <c r="Q918" s="458"/>
      <c r="R918" s="459"/>
    </row>
    <row r="919" spans="1:18" ht="15" customHeight="1" x14ac:dyDescent="0.2">
      <c r="A919" s="459"/>
      <c r="B919" s="437"/>
      <c r="C919" s="63"/>
      <c r="D919" s="363" t="s">
        <v>296</v>
      </c>
      <c r="E919" s="77" t="s">
        <v>60</v>
      </c>
      <c r="F919" s="83">
        <v>82500</v>
      </c>
      <c r="G919" s="28">
        <v>4</v>
      </c>
      <c r="H919" s="28">
        <f>F919*G919</f>
        <v>330000</v>
      </c>
      <c r="I919" s="93">
        <f>H919*21%</f>
        <v>69300</v>
      </c>
      <c r="J919" s="93">
        <f>H919+I919</f>
        <v>399300</v>
      </c>
      <c r="K919" s="438"/>
      <c r="L919" s="437"/>
      <c r="M919" s="28"/>
      <c r="N919" s="28">
        <f>H919</f>
        <v>330000</v>
      </c>
      <c r="O919" s="28"/>
      <c r="P919" s="31"/>
      <c r="Q919" s="438"/>
      <c r="R919" s="459"/>
    </row>
    <row r="920" spans="1:18" s="172" customFormat="1" ht="15" customHeight="1" x14ac:dyDescent="0.2">
      <c r="A920" s="462"/>
      <c r="B920" s="409"/>
      <c r="C920" s="64"/>
      <c r="D920" s="260" t="s">
        <v>141</v>
      </c>
      <c r="E920" s="223"/>
      <c r="F920" s="224"/>
      <c r="G920" s="111"/>
      <c r="H920" s="85"/>
      <c r="I920" s="166"/>
      <c r="J920" s="160"/>
      <c r="K920" s="410"/>
      <c r="L920" s="409"/>
      <c r="M920" s="227"/>
      <c r="N920" s="228"/>
      <c r="O920" s="229"/>
      <c r="P920" s="31"/>
      <c r="Q920" s="410"/>
      <c r="R920" s="462"/>
    </row>
    <row r="921" spans="1:18" s="172" customFormat="1" ht="15" x14ac:dyDescent="0.2">
      <c r="A921" s="462"/>
      <c r="B921" s="409"/>
      <c r="C921" s="64"/>
      <c r="D921" s="230" t="s">
        <v>297</v>
      </c>
      <c r="E921" s="223"/>
      <c r="F921" s="85"/>
      <c r="G921" s="111"/>
      <c r="H921" s="87"/>
      <c r="I921" s="164"/>
      <c r="J921" s="79"/>
      <c r="K921" s="410"/>
      <c r="L921" s="409"/>
      <c r="M921" s="223"/>
      <c r="N921" s="85"/>
      <c r="O921" s="111"/>
      <c r="P921" s="118"/>
      <c r="Q921" s="410"/>
      <c r="R921" s="462"/>
    </row>
    <row r="922" spans="1:18" s="172" customFormat="1" ht="15" x14ac:dyDescent="0.2">
      <c r="A922" s="462"/>
      <c r="B922" s="409"/>
      <c r="C922" s="64"/>
      <c r="D922" s="233"/>
      <c r="E922" s="77" t="s">
        <v>60</v>
      </c>
      <c r="F922" s="83">
        <v>27000</v>
      </c>
      <c r="G922" s="28">
        <v>4</v>
      </c>
      <c r="H922" s="28">
        <f>F922*G922</f>
        <v>108000</v>
      </c>
      <c r="I922" s="93">
        <f>H922*21%</f>
        <v>22680</v>
      </c>
      <c r="J922" s="93">
        <f>H922+I922</f>
        <v>130680</v>
      </c>
      <c r="K922" s="438"/>
      <c r="L922" s="437"/>
      <c r="M922" s="28"/>
      <c r="N922" s="28">
        <f>H922</f>
        <v>108000</v>
      </c>
      <c r="O922" s="28"/>
      <c r="P922" s="118"/>
      <c r="Q922" s="410"/>
      <c r="R922" s="462"/>
    </row>
    <row r="923" spans="1:18" ht="15" customHeight="1" x14ac:dyDescent="0.2">
      <c r="A923" s="459"/>
      <c r="B923" s="437"/>
      <c r="C923" s="63"/>
      <c r="D923" s="265" t="s">
        <v>92</v>
      </c>
      <c r="E923" s="149"/>
      <c r="F923" s="78"/>
      <c r="G923" s="152"/>
      <c r="H923" s="28"/>
      <c r="I923" s="169"/>
      <c r="J923" s="92"/>
      <c r="K923" s="438"/>
      <c r="L923" s="437"/>
      <c r="M923" s="149"/>
      <c r="N923" s="78"/>
      <c r="O923" s="152"/>
      <c r="P923" s="118"/>
      <c r="Q923" s="438"/>
      <c r="R923" s="459"/>
    </row>
    <row r="924" spans="1:18" ht="15" customHeight="1" x14ac:dyDescent="0.2">
      <c r="A924" s="459"/>
      <c r="B924" s="437"/>
      <c r="C924" s="63"/>
      <c r="D924" s="57" t="s">
        <v>137</v>
      </c>
      <c r="E924" s="77" t="s">
        <v>24</v>
      </c>
      <c r="F924" s="28">
        <v>19000</v>
      </c>
      <c r="G924" s="28">
        <v>8</v>
      </c>
      <c r="H924" s="28">
        <f>+F924*G924</f>
        <v>152000</v>
      </c>
      <c r="I924" s="93">
        <f t="shared" ref="I924:I929" si="4">H924*21%</f>
        <v>31920</v>
      </c>
      <c r="J924" s="93">
        <f t="shared" ref="J924:J929" si="5">H924+I924</f>
        <v>183920</v>
      </c>
      <c r="K924" s="438"/>
      <c r="L924" s="437"/>
      <c r="M924" s="28"/>
      <c r="N924" s="28">
        <f>H924</f>
        <v>152000</v>
      </c>
      <c r="O924" s="28"/>
      <c r="P924" s="31"/>
      <c r="Q924" s="438"/>
      <c r="R924" s="459"/>
    </row>
    <row r="925" spans="1:18" ht="15" customHeight="1" x14ac:dyDescent="0.2">
      <c r="A925" s="459"/>
      <c r="B925" s="437"/>
      <c r="C925" s="63"/>
      <c r="D925" s="116" t="s">
        <v>139</v>
      </c>
      <c r="E925" s="77" t="s">
        <v>24</v>
      </c>
      <c r="F925" s="28">
        <v>20000</v>
      </c>
      <c r="G925" s="28">
        <v>1</v>
      </c>
      <c r="H925" s="28">
        <f>+F925*G925</f>
        <v>20000</v>
      </c>
      <c r="I925" s="93">
        <f t="shared" si="4"/>
        <v>4200</v>
      </c>
      <c r="J925" s="93">
        <f t="shared" si="5"/>
        <v>24200</v>
      </c>
      <c r="K925" s="438"/>
      <c r="L925" s="437"/>
      <c r="M925" s="28"/>
      <c r="N925" s="28">
        <f>H925</f>
        <v>20000</v>
      </c>
      <c r="O925" s="28"/>
      <c r="P925" s="31"/>
      <c r="Q925" s="438"/>
      <c r="R925" s="459"/>
    </row>
    <row r="926" spans="1:18" ht="15" customHeight="1" x14ac:dyDescent="0.2">
      <c r="A926" s="459"/>
      <c r="B926" s="437"/>
      <c r="C926" s="63"/>
      <c r="D926" s="57" t="s">
        <v>50</v>
      </c>
      <c r="E926" s="77" t="s">
        <v>24</v>
      </c>
      <c r="F926" s="28">
        <v>9000</v>
      </c>
      <c r="G926" s="28">
        <v>8</v>
      </c>
      <c r="H926" s="28">
        <f>+F926*G926</f>
        <v>72000</v>
      </c>
      <c r="I926" s="93">
        <f t="shared" si="4"/>
        <v>15120</v>
      </c>
      <c r="J926" s="93">
        <f t="shared" si="5"/>
        <v>87120</v>
      </c>
      <c r="K926" s="438"/>
      <c r="L926" s="437"/>
      <c r="M926" s="28"/>
      <c r="N926" s="28">
        <f>H926</f>
        <v>72000</v>
      </c>
      <c r="O926" s="28"/>
      <c r="P926" s="31"/>
      <c r="Q926" s="438"/>
      <c r="R926" s="459"/>
    </row>
    <row r="927" spans="1:18" ht="15" customHeight="1" x14ac:dyDescent="0.2">
      <c r="A927" s="459"/>
      <c r="B927" s="437"/>
      <c r="C927" s="63"/>
      <c r="D927" s="116" t="s">
        <v>152</v>
      </c>
      <c r="E927" s="77" t="s">
        <v>24</v>
      </c>
      <c r="F927" s="28">
        <v>15000</v>
      </c>
      <c r="G927" s="28">
        <v>5</v>
      </c>
      <c r="H927" s="28">
        <f>+F927*G927</f>
        <v>75000</v>
      </c>
      <c r="I927" s="93">
        <f t="shared" si="4"/>
        <v>15750</v>
      </c>
      <c r="J927" s="93">
        <f t="shared" si="5"/>
        <v>90750</v>
      </c>
      <c r="K927" s="438"/>
      <c r="L927" s="437"/>
      <c r="M927" s="28"/>
      <c r="N927" s="28">
        <f>H927</f>
        <v>75000</v>
      </c>
      <c r="O927" s="28"/>
      <c r="P927" s="31"/>
      <c r="Q927" s="438"/>
      <c r="R927" s="459"/>
    </row>
    <row r="928" spans="1:18" ht="15" customHeight="1" x14ac:dyDescent="0.2">
      <c r="A928" s="459"/>
      <c r="B928" s="437"/>
      <c r="C928" s="63"/>
      <c r="D928" s="57" t="s">
        <v>10</v>
      </c>
      <c r="E928" s="77" t="s">
        <v>24</v>
      </c>
      <c r="F928" s="28">
        <v>0</v>
      </c>
      <c r="G928" s="28">
        <v>0</v>
      </c>
      <c r="H928" s="28">
        <f>F928*G928</f>
        <v>0</v>
      </c>
      <c r="I928" s="93">
        <f t="shared" si="4"/>
        <v>0</v>
      </c>
      <c r="J928" s="93">
        <f t="shared" si="5"/>
        <v>0</v>
      </c>
      <c r="K928" s="438"/>
      <c r="L928" s="437"/>
      <c r="M928" s="28"/>
      <c r="N928" s="28">
        <f>H928</f>
        <v>0</v>
      </c>
      <c r="O928" s="28"/>
      <c r="P928" s="31"/>
      <c r="Q928" s="438"/>
      <c r="R928" s="459"/>
    </row>
    <row r="929" spans="1:18" ht="15" customHeight="1" x14ac:dyDescent="0.2">
      <c r="A929" s="459"/>
      <c r="B929" s="437"/>
      <c r="C929" s="63"/>
      <c r="D929" s="81" t="s">
        <v>115</v>
      </c>
      <c r="E929" s="90" t="s">
        <v>117</v>
      </c>
      <c r="F929" s="28">
        <v>75000</v>
      </c>
      <c r="G929" s="28">
        <v>1</v>
      </c>
      <c r="H929" s="28">
        <f>F929*G929</f>
        <v>75000</v>
      </c>
      <c r="I929" s="93">
        <f t="shared" si="4"/>
        <v>15750</v>
      </c>
      <c r="J929" s="93">
        <f t="shared" si="5"/>
        <v>90750</v>
      </c>
      <c r="K929" s="438"/>
      <c r="L929" s="437"/>
      <c r="M929" s="28">
        <f>H929</f>
        <v>75000</v>
      </c>
      <c r="N929" s="28"/>
      <c r="O929" s="28"/>
      <c r="P929" s="31"/>
      <c r="Q929" s="438"/>
      <c r="R929" s="459"/>
    </row>
    <row r="930" spans="1:18" s="51" customFormat="1" ht="15" customHeight="1" x14ac:dyDescent="0.2">
      <c r="A930" s="269"/>
      <c r="B930" s="192"/>
      <c r="C930" s="140">
        <f>SUM(C897:C929)</f>
        <v>0</v>
      </c>
      <c r="D930" s="139"/>
      <c r="E930" s="102"/>
      <c r="F930" s="532" t="s">
        <v>2</v>
      </c>
      <c r="G930" s="533"/>
      <c r="H930" s="332">
        <f>SUM(H929+H928+H927+H926+H925+H924+H922+H919+H913+H911+H908+H904+H900)</f>
        <v>4362000</v>
      </c>
      <c r="I930" s="328">
        <f>SUM(I929+I928+I927+I926+I925+I924+I922+I919+I913+I911+I908+I904+I900)</f>
        <v>916020</v>
      </c>
      <c r="J930" s="328">
        <f>SUM(J929+J928+J927+J926+J925+J924+J922+J919+J913+J911+J908+J904+J900)</f>
        <v>5278020</v>
      </c>
      <c r="K930" s="282"/>
      <c r="L930" s="281"/>
      <c r="M930" s="329">
        <f>SUM(M897:M929)</f>
        <v>627000</v>
      </c>
      <c r="N930" s="330">
        <f>SUM(N897:N929)</f>
        <v>3517000</v>
      </c>
      <c r="O930" s="331">
        <f>SUM(O897:O929)</f>
        <v>50000</v>
      </c>
      <c r="P930" s="333">
        <f>SUM(M930:O930)</f>
        <v>4194000</v>
      </c>
      <c r="Q930" s="193"/>
      <c r="R930" s="273"/>
    </row>
    <row r="931" spans="1:18" s="49" customFormat="1" ht="30" customHeight="1" x14ac:dyDescent="0.2">
      <c r="A931" s="269"/>
      <c r="B931" s="184"/>
      <c r="C931" s="65"/>
      <c r="D931" s="6"/>
      <c r="E931" s="7"/>
      <c r="F931" s="8"/>
      <c r="G931" s="8"/>
      <c r="H931" s="9"/>
      <c r="I931" s="50"/>
      <c r="J931" s="50"/>
      <c r="K931" s="185"/>
      <c r="L931" s="184"/>
      <c r="M931" s="54"/>
      <c r="N931" s="54"/>
      <c r="O931" s="54"/>
      <c r="P931" s="55"/>
      <c r="Q931" s="185"/>
      <c r="R931" s="269"/>
    </row>
    <row r="932" spans="1:18" s="51" customFormat="1" ht="15" customHeight="1" x14ac:dyDescent="0.2">
      <c r="A932" s="269"/>
      <c r="B932" s="196"/>
      <c r="C932" s="295">
        <v>19</v>
      </c>
      <c r="D932" s="300" t="s">
        <v>43</v>
      </c>
      <c r="E932" s="323" t="s">
        <v>74</v>
      </c>
      <c r="F932" s="324" t="s">
        <v>38</v>
      </c>
      <c r="G932" s="325" t="s">
        <v>39</v>
      </c>
      <c r="H932" s="321" t="s">
        <v>52</v>
      </c>
      <c r="I932" s="326" t="s">
        <v>55</v>
      </c>
      <c r="J932" s="326" t="s">
        <v>130</v>
      </c>
      <c r="K932" s="197"/>
      <c r="L932" s="196"/>
      <c r="M932" s="327" t="s">
        <v>88</v>
      </c>
      <c r="N932" s="327" t="s">
        <v>25</v>
      </c>
      <c r="O932" s="327" t="s">
        <v>54</v>
      </c>
      <c r="P932" s="322" t="s">
        <v>52</v>
      </c>
      <c r="Q932" s="197"/>
      <c r="R932" s="273"/>
    </row>
    <row r="933" spans="1:18" ht="15" customHeight="1" x14ac:dyDescent="0.2">
      <c r="A933" s="269"/>
      <c r="B933" s="190"/>
      <c r="C933" s="13"/>
      <c r="D933" s="259" t="s">
        <v>100</v>
      </c>
      <c r="E933" s="90" t="s">
        <v>117</v>
      </c>
      <c r="F933" s="36">
        <v>400000</v>
      </c>
      <c r="G933" s="36">
        <v>1</v>
      </c>
      <c r="H933" s="35">
        <f>F933*G933</f>
        <v>400000</v>
      </c>
      <c r="I933" s="159">
        <f>H933*21%</f>
        <v>84000</v>
      </c>
      <c r="J933" s="159">
        <f>H933+I933</f>
        <v>484000</v>
      </c>
      <c r="K933" s="191"/>
      <c r="L933" s="190"/>
      <c r="M933" s="28">
        <v>0</v>
      </c>
      <c r="N933" s="30"/>
      <c r="O933" s="28"/>
      <c r="P933" s="31"/>
      <c r="Q933" s="191"/>
      <c r="R933" s="269"/>
    </row>
    <row r="934" spans="1:18" ht="15" customHeight="1" x14ac:dyDescent="0.2">
      <c r="A934" s="269"/>
      <c r="B934" s="190"/>
      <c r="C934" s="13"/>
      <c r="D934" s="259" t="s">
        <v>106</v>
      </c>
      <c r="E934" s="90" t="s">
        <v>117</v>
      </c>
      <c r="F934" s="36">
        <v>0</v>
      </c>
      <c r="G934" s="36">
        <v>1</v>
      </c>
      <c r="H934" s="35">
        <f>F934*G934</f>
        <v>0</v>
      </c>
      <c r="I934" s="159">
        <f>H934*21%</f>
        <v>0</v>
      </c>
      <c r="J934" s="159">
        <f>H934+I934</f>
        <v>0</v>
      </c>
      <c r="K934" s="191"/>
      <c r="L934" s="190"/>
      <c r="M934" s="28">
        <f>H934*0.3</f>
        <v>0</v>
      </c>
      <c r="N934" s="30">
        <f>H934*0.7</f>
        <v>0</v>
      </c>
      <c r="O934" s="28"/>
      <c r="P934" s="31"/>
      <c r="Q934" s="191"/>
      <c r="R934" s="269"/>
    </row>
    <row r="935" spans="1:18" s="51" customFormat="1" ht="15" customHeight="1" x14ac:dyDescent="0.2">
      <c r="A935" s="269"/>
      <c r="B935" s="192"/>
      <c r="C935" s="140">
        <f>SUM(C933:C934)</f>
        <v>0</v>
      </c>
      <c r="D935" s="139"/>
      <c r="E935" s="102"/>
      <c r="F935" s="532" t="s">
        <v>107</v>
      </c>
      <c r="G935" s="533"/>
      <c r="H935" s="332">
        <f>SUM(H933:H934)</f>
        <v>400000</v>
      </c>
      <c r="I935" s="328">
        <f>SUM(I933:I934)</f>
        <v>84000</v>
      </c>
      <c r="J935" s="328">
        <f>SUM(J933:J934)</f>
        <v>484000</v>
      </c>
      <c r="K935" s="282"/>
      <c r="L935" s="281"/>
      <c r="M935" s="329">
        <f>SUM(M933:M934)</f>
        <v>0</v>
      </c>
      <c r="N935" s="330">
        <f>SUM(N933:N934)</f>
        <v>0</v>
      </c>
      <c r="O935" s="331">
        <f>SUM(O933:O934)</f>
        <v>0</v>
      </c>
      <c r="P935" s="333">
        <f>SUM(M935:O935)</f>
        <v>0</v>
      </c>
      <c r="Q935" s="193"/>
      <c r="R935" s="273"/>
    </row>
    <row r="936" spans="1:18" s="49" customFormat="1" ht="30" customHeight="1" x14ac:dyDescent="0.2">
      <c r="A936" s="269"/>
      <c r="B936" s="184"/>
      <c r="C936" s="65"/>
      <c r="D936" s="6"/>
      <c r="E936" s="7"/>
      <c r="F936" s="8"/>
      <c r="G936" s="8"/>
      <c r="H936" s="9"/>
      <c r="I936" s="50"/>
      <c r="J936" s="50"/>
      <c r="K936" s="185"/>
      <c r="L936" s="184"/>
      <c r="M936" s="54"/>
      <c r="N936" s="54"/>
      <c r="O936" s="54"/>
      <c r="P936" s="55"/>
      <c r="Q936" s="185"/>
      <c r="R936" s="269"/>
    </row>
    <row r="937" spans="1:18" s="51" customFormat="1" ht="15" customHeight="1" x14ac:dyDescent="0.2">
      <c r="A937" s="269"/>
      <c r="B937" s="196"/>
      <c r="C937" s="295">
        <v>20</v>
      </c>
      <c r="D937" s="300" t="s">
        <v>34</v>
      </c>
      <c r="E937" s="323" t="s">
        <v>74</v>
      </c>
      <c r="F937" s="324" t="s">
        <v>38</v>
      </c>
      <c r="G937" s="325" t="s">
        <v>39</v>
      </c>
      <c r="H937" s="321" t="s">
        <v>52</v>
      </c>
      <c r="I937" s="326" t="s">
        <v>55</v>
      </c>
      <c r="J937" s="326" t="s">
        <v>130</v>
      </c>
      <c r="K937" s="197"/>
      <c r="L937" s="196"/>
      <c r="M937" s="327" t="s">
        <v>88</v>
      </c>
      <c r="N937" s="327" t="s">
        <v>25</v>
      </c>
      <c r="O937" s="327" t="s">
        <v>54</v>
      </c>
      <c r="P937" s="322" t="s">
        <v>52</v>
      </c>
      <c r="Q937" s="197"/>
      <c r="R937" s="273"/>
    </row>
    <row r="938" spans="1:18" s="74" customFormat="1" ht="15" customHeight="1" x14ac:dyDescent="0.2">
      <c r="A938" s="276"/>
      <c r="B938" s="202"/>
      <c r="C938" s="72"/>
      <c r="D938" s="261" t="s">
        <v>249</v>
      </c>
      <c r="E938" s="149"/>
      <c r="F938" s="78"/>
      <c r="G938" s="152"/>
      <c r="H938" s="28"/>
      <c r="I938" s="166"/>
      <c r="J938" s="160"/>
      <c r="K938" s="191"/>
      <c r="L938" s="190"/>
      <c r="M938" s="171"/>
      <c r="N938" s="82"/>
      <c r="O938" s="152"/>
      <c r="P938" s="118"/>
      <c r="Q938" s="203"/>
      <c r="R938" s="276"/>
    </row>
    <row r="939" spans="1:18" s="89" customFormat="1" ht="15" customHeight="1" x14ac:dyDescent="0.2">
      <c r="A939" s="275"/>
      <c r="B939" s="198"/>
      <c r="C939" s="64"/>
      <c r="D939" s="75"/>
      <c r="E939" s="90" t="s">
        <v>186</v>
      </c>
      <c r="F939" s="120">
        <v>10000</v>
      </c>
      <c r="G939" s="83">
        <v>25</v>
      </c>
      <c r="H939" s="83">
        <f>+F939*G939</f>
        <v>250000</v>
      </c>
      <c r="I939" s="83">
        <f>H939*21%</f>
        <v>52500</v>
      </c>
      <c r="J939" s="93">
        <f>H939+I939</f>
        <v>302500</v>
      </c>
      <c r="K939" s="199"/>
      <c r="L939" s="198"/>
      <c r="M939" s="83">
        <f>H939*30%</f>
        <v>75000</v>
      </c>
      <c r="N939" s="83">
        <f>H939*70%</f>
        <v>175000</v>
      </c>
      <c r="O939" s="83"/>
      <c r="P939" s="87"/>
      <c r="Q939" s="199"/>
      <c r="R939" s="275"/>
    </row>
    <row r="940" spans="1:18" s="74" customFormat="1" ht="15" customHeight="1" x14ac:dyDescent="0.2">
      <c r="A940" s="269"/>
      <c r="B940" s="202"/>
      <c r="C940" s="13">
        <v>2</v>
      </c>
      <c r="D940" s="473" t="s">
        <v>6</v>
      </c>
      <c r="E940" s="149"/>
      <c r="F940" s="78"/>
      <c r="G940" s="152"/>
      <c r="H940" s="28"/>
      <c r="I940" s="167"/>
      <c r="J940" s="168"/>
      <c r="K940" s="203"/>
      <c r="L940" s="202"/>
      <c r="M940" s="99"/>
      <c r="N940" s="100"/>
      <c r="O940" s="73"/>
      <c r="P940" s="101"/>
      <c r="Q940" s="203"/>
      <c r="R940" s="276"/>
    </row>
    <row r="941" spans="1:18" ht="15" customHeight="1" x14ac:dyDescent="0.2">
      <c r="A941" s="269"/>
      <c r="B941" s="190"/>
      <c r="C941" s="13"/>
      <c r="D941" s="469" t="s">
        <v>215</v>
      </c>
      <c r="E941" s="18" t="s">
        <v>40</v>
      </c>
      <c r="F941" s="38">
        <v>10000</v>
      </c>
      <c r="G941" s="35">
        <v>16</v>
      </c>
      <c r="H941" s="35">
        <f>+F941*G941</f>
        <v>160000</v>
      </c>
      <c r="I941" s="93">
        <v>0</v>
      </c>
      <c r="J941" s="93">
        <f>SUM(I941+H941)</f>
        <v>160000</v>
      </c>
      <c r="K941" s="191"/>
      <c r="L941" s="190"/>
      <c r="M941" s="28">
        <v>0</v>
      </c>
      <c r="N941" s="28"/>
      <c r="O941" s="28">
        <v>0</v>
      </c>
      <c r="P941" s="31"/>
      <c r="Q941" s="191"/>
      <c r="R941" s="269"/>
    </row>
    <row r="942" spans="1:18" ht="15" customHeight="1" x14ac:dyDescent="0.2">
      <c r="A942" s="269"/>
      <c r="B942" s="190"/>
      <c r="C942" s="13"/>
      <c r="D942" s="469" t="s">
        <v>217</v>
      </c>
      <c r="E942" s="77" t="s">
        <v>60</v>
      </c>
      <c r="F942" s="38">
        <v>46000</v>
      </c>
      <c r="G942" s="475">
        <v>7</v>
      </c>
      <c r="H942" s="35">
        <f>+F942*G942</f>
        <v>322000</v>
      </c>
      <c r="I942" s="93">
        <f>+H942*21%</f>
        <v>67620</v>
      </c>
      <c r="J942" s="93">
        <f>SUM(I942+H942)</f>
        <v>389620</v>
      </c>
      <c r="K942" s="191"/>
      <c r="L942" s="190"/>
      <c r="M942" s="28"/>
      <c r="N942" s="28">
        <f>F942*6</f>
        <v>276000</v>
      </c>
      <c r="O942" s="28">
        <f>H942-M942-N942</f>
        <v>46000</v>
      </c>
      <c r="P942" s="31"/>
      <c r="Q942" s="191"/>
      <c r="R942" s="269"/>
    </row>
    <row r="943" spans="1:18" ht="15" customHeight="1" x14ac:dyDescent="0.2">
      <c r="A943" s="269"/>
      <c r="B943" s="190"/>
      <c r="C943" s="13"/>
      <c r="D943" s="469" t="s">
        <v>216</v>
      </c>
      <c r="E943" s="77" t="s">
        <v>60</v>
      </c>
      <c r="F943" s="38">
        <v>132000</v>
      </c>
      <c r="G943" s="475">
        <v>7</v>
      </c>
      <c r="H943" s="35">
        <f>+G943*F943</f>
        <v>924000</v>
      </c>
      <c r="I943" s="93">
        <f>+H943*21%</f>
        <v>194040</v>
      </c>
      <c r="J943" s="93">
        <f>SUM(I943+H943)</f>
        <v>1118040</v>
      </c>
      <c r="K943" s="191"/>
      <c r="L943" s="190"/>
      <c r="M943" s="28"/>
      <c r="N943" s="28"/>
      <c r="O943" s="28">
        <f>H943-M943-N943</f>
        <v>924000</v>
      </c>
      <c r="P943" s="31"/>
      <c r="Q943" s="191"/>
      <c r="R943" s="269"/>
    </row>
    <row r="944" spans="1:18" ht="15" customHeight="1" x14ac:dyDescent="0.2">
      <c r="A944" s="269"/>
      <c r="B944" s="190"/>
      <c r="C944" s="13"/>
      <c r="D944" s="469" t="s">
        <v>281</v>
      </c>
      <c r="E944" s="77" t="s">
        <v>205</v>
      </c>
      <c r="F944" s="38">
        <v>77000</v>
      </c>
      <c r="G944" s="35">
        <v>16</v>
      </c>
      <c r="H944" s="35">
        <f>+G944*F944</f>
        <v>1232000</v>
      </c>
      <c r="I944" s="93">
        <f>+H944*21%</f>
        <v>258720</v>
      </c>
      <c r="J944" s="93">
        <f>SUM(I944+H944)</f>
        <v>1490720</v>
      </c>
      <c r="K944" s="191"/>
      <c r="L944" s="190"/>
      <c r="M944" s="28"/>
      <c r="N944" s="28"/>
      <c r="O944" s="28">
        <v>0</v>
      </c>
      <c r="P944" s="31"/>
      <c r="Q944" s="191"/>
      <c r="R944" s="269"/>
    </row>
    <row r="945" spans="1:18" ht="15" customHeight="1" x14ac:dyDescent="0.2">
      <c r="A945" s="269"/>
      <c r="B945" s="190"/>
      <c r="C945" s="13"/>
      <c r="D945" s="75" t="s">
        <v>133</v>
      </c>
      <c r="E945" s="18" t="s">
        <v>40</v>
      </c>
      <c r="F945" s="38">
        <v>5000</v>
      </c>
      <c r="G945" s="35">
        <v>16</v>
      </c>
      <c r="H945" s="163">
        <f>+F945*G945</f>
        <v>80000</v>
      </c>
      <c r="I945" s="93">
        <v>0</v>
      </c>
      <c r="J945" s="93">
        <f>SUM(H945)</f>
        <v>80000</v>
      </c>
      <c r="K945" s="191"/>
      <c r="L945" s="190"/>
      <c r="M945" s="28">
        <f>F945*$F$3</f>
        <v>15000</v>
      </c>
      <c r="N945" s="28"/>
      <c r="O945" s="28"/>
      <c r="P945" s="31"/>
      <c r="Q945" s="191"/>
      <c r="R945" s="269"/>
    </row>
    <row r="946" spans="1:18" ht="15" customHeight="1" x14ac:dyDescent="0.2">
      <c r="A946" s="269"/>
      <c r="B946" s="190"/>
      <c r="C946" s="13"/>
      <c r="D946" s="259" t="s">
        <v>108</v>
      </c>
      <c r="E946" s="77" t="s">
        <v>60</v>
      </c>
      <c r="F946" s="35">
        <v>25000</v>
      </c>
      <c r="G946" s="35">
        <v>7</v>
      </c>
      <c r="H946" s="35">
        <f>+F946*G946</f>
        <v>175000</v>
      </c>
      <c r="I946" s="93">
        <v>0</v>
      </c>
      <c r="J946" s="93">
        <f>SUM(H946)</f>
        <v>175000</v>
      </c>
      <c r="K946" s="191"/>
      <c r="L946" s="190"/>
      <c r="M946" s="28">
        <f>H946*30%</f>
        <v>52500</v>
      </c>
      <c r="N946" s="28">
        <f>H946*60%</f>
        <v>105000</v>
      </c>
      <c r="O946" s="28">
        <f>H946-M946-N946</f>
        <v>17500</v>
      </c>
      <c r="P946" s="31"/>
      <c r="Q946" s="191"/>
      <c r="R946" s="269"/>
    </row>
    <row r="947" spans="1:18" ht="15" customHeight="1" x14ac:dyDescent="0.2">
      <c r="A947" s="269"/>
      <c r="B947" s="190"/>
      <c r="C947" s="13"/>
      <c r="D947" s="259" t="s">
        <v>218</v>
      </c>
      <c r="E947" s="77"/>
      <c r="F947" s="35"/>
      <c r="G947" s="35">
        <v>0</v>
      </c>
      <c r="H947" s="35">
        <f>+F947*G947</f>
        <v>0</v>
      </c>
      <c r="I947" s="93">
        <v>0</v>
      </c>
      <c r="J947" s="93">
        <f>SUM(H947)</f>
        <v>0</v>
      </c>
      <c r="K947" s="191"/>
      <c r="L947" s="190"/>
      <c r="M947" s="28">
        <f>H947*30%</f>
        <v>0</v>
      </c>
      <c r="N947" s="28">
        <f>H947*60%</f>
        <v>0</v>
      </c>
      <c r="O947" s="28">
        <f>H947-M947-N947</f>
        <v>0</v>
      </c>
      <c r="P947" s="31"/>
      <c r="Q947" s="191"/>
      <c r="R947" s="269"/>
    </row>
    <row r="948" spans="1:18" s="74" customFormat="1" ht="15" customHeight="1" x14ac:dyDescent="0.2">
      <c r="A948" s="269"/>
      <c r="B948" s="202"/>
      <c r="C948" s="13">
        <v>3</v>
      </c>
      <c r="D948" s="473" t="s">
        <v>3</v>
      </c>
      <c r="E948" s="149"/>
      <c r="F948" s="78"/>
      <c r="G948" s="152"/>
      <c r="H948" s="28"/>
      <c r="I948" s="162"/>
      <c r="J948" s="151"/>
      <c r="K948" s="203"/>
      <c r="L948" s="202"/>
      <c r="M948" s="106"/>
      <c r="N948" s="107"/>
      <c r="O948" s="154"/>
      <c r="P948" s="101"/>
      <c r="Q948" s="203"/>
      <c r="R948" s="276"/>
    </row>
    <row r="949" spans="1:18" ht="15" customHeight="1" x14ac:dyDescent="0.2">
      <c r="A949" s="269"/>
      <c r="B949" s="190"/>
      <c r="C949" s="13"/>
      <c r="D949" s="75" t="s">
        <v>153</v>
      </c>
      <c r="E949" s="18" t="s">
        <v>40</v>
      </c>
      <c r="F949" s="38">
        <v>27500</v>
      </c>
      <c r="G949" s="61">
        <v>16</v>
      </c>
      <c r="H949" s="35">
        <f>+F949*G949</f>
        <v>440000</v>
      </c>
      <c r="I949" s="164"/>
      <c r="J949" s="79"/>
      <c r="K949" s="191"/>
      <c r="L949" s="190"/>
      <c r="M949" s="108"/>
      <c r="N949" s="34"/>
      <c r="O949" s="105"/>
      <c r="P949" s="118"/>
      <c r="Q949" s="191"/>
      <c r="R949" s="269"/>
    </row>
    <row r="950" spans="1:18" ht="15" customHeight="1" x14ac:dyDescent="0.2">
      <c r="A950" s="269"/>
      <c r="B950" s="190"/>
      <c r="C950" s="13"/>
      <c r="D950" s="75" t="s">
        <v>282</v>
      </c>
      <c r="E950" s="18" t="s">
        <v>40</v>
      </c>
      <c r="F950" s="38">
        <v>35000</v>
      </c>
      <c r="G950" s="61">
        <v>16</v>
      </c>
      <c r="H950" s="35">
        <f>+G950*F950</f>
        <v>560000</v>
      </c>
      <c r="I950" s="164"/>
      <c r="J950" s="79"/>
      <c r="K950" s="191"/>
      <c r="L950" s="190"/>
      <c r="M950" s="108"/>
      <c r="N950" s="34"/>
      <c r="O950" s="105"/>
      <c r="P950" s="118"/>
      <c r="Q950" s="191"/>
      <c r="R950" s="269"/>
    </row>
    <row r="951" spans="1:18" ht="15" customHeight="1" x14ac:dyDescent="0.2">
      <c r="A951" s="269"/>
      <c r="B951" s="190"/>
      <c r="C951" s="13"/>
      <c r="D951" s="75" t="s">
        <v>134</v>
      </c>
      <c r="E951" s="18" t="s">
        <v>40</v>
      </c>
      <c r="F951" s="38">
        <v>32000</v>
      </c>
      <c r="G951" s="61">
        <v>16</v>
      </c>
      <c r="H951" s="35">
        <f>+G951*F951</f>
        <v>512000</v>
      </c>
      <c r="I951" s="164"/>
      <c r="J951" s="79"/>
      <c r="K951" s="191"/>
      <c r="L951" s="190"/>
      <c r="M951" s="108"/>
      <c r="N951" s="34"/>
      <c r="O951" s="105"/>
      <c r="P951" s="118"/>
      <c r="Q951" s="191"/>
      <c r="R951" s="269"/>
    </row>
    <row r="952" spans="1:18" s="49" customFormat="1" ht="15" customHeight="1" x14ac:dyDescent="0.2">
      <c r="A952" s="269"/>
      <c r="B952" s="190"/>
      <c r="C952" s="13"/>
      <c r="D952" s="14"/>
      <c r="E952" s="77" t="s">
        <v>73</v>
      </c>
      <c r="F952" s="39">
        <v>0</v>
      </c>
      <c r="G952" s="35">
        <v>0</v>
      </c>
      <c r="H952" s="35">
        <f>SUM(H949:H951)</f>
        <v>1512000</v>
      </c>
      <c r="I952" s="93">
        <f>+H952*21%</f>
        <v>317520</v>
      </c>
      <c r="J952" s="93">
        <f>+H952+I952</f>
        <v>1829520</v>
      </c>
      <c r="K952" s="191"/>
      <c r="L952" s="190"/>
      <c r="M952" s="28">
        <f>SUM(H949:H951)*10%</f>
        <v>151200</v>
      </c>
      <c r="N952" s="28">
        <f>SUM(H949:H951)-M952</f>
        <v>1360800</v>
      </c>
      <c r="O952" s="28"/>
      <c r="P952" s="31"/>
      <c r="Q952" s="191"/>
      <c r="R952" s="269"/>
    </row>
    <row r="953" spans="1:18" s="74" customFormat="1" ht="15" customHeight="1" x14ac:dyDescent="0.2">
      <c r="A953" s="269"/>
      <c r="B953" s="202"/>
      <c r="C953" s="72"/>
      <c r="D953" s="261" t="s">
        <v>4</v>
      </c>
      <c r="E953" s="149"/>
      <c r="F953" s="78"/>
      <c r="G953" s="152"/>
      <c r="H953" s="28"/>
      <c r="I953" s="167"/>
      <c r="J953" s="168"/>
      <c r="K953" s="203"/>
      <c r="L953" s="202"/>
      <c r="M953" s="99"/>
      <c r="N953" s="100"/>
      <c r="O953" s="73"/>
      <c r="P953" s="101"/>
      <c r="Q953" s="203"/>
      <c r="R953" s="276"/>
    </row>
    <row r="954" spans="1:18" ht="15" customHeight="1" x14ac:dyDescent="0.2">
      <c r="A954" s="269"/>
      <c r="B954" s="190"/>
      <c r="C954" s="13"/>
      <c r="D954" s="14" t="s">
        <v>28</v>
      </c>
      <c r="E954" s="77" t="s">
        <v>29</v>
      </c>
      <c r="F954" s="39">
        <v>0</v>
      </c>
      <c r="G954" s="35">
        <v>0</v>
      </c>
      <c r="H954" s="35">
        <f>+G954*F954</f>
        <v>0</v>
      </c>
      <c r="I954" s="93"/>
      <c r="J954" s="93">
        <f>SUM(H953:H954)</f>
        <v>0</v>
      </c>
      <c r="K954" s="191"/>
      <c r="L954" s="190"/>
      <c r="M954" s="28"/>
      <c r="N954" s="28"/>
      <c r="O954" s="28"/>
      <c r="P954" s="31"/>
      <c r="Q954" s="191"/>
      <c r="R954" s="269"/>
    </row>
    <row r="955" spans="1:18" s="49" customFormat="1" ht="15" customHeight="1" x14ac:dyDescent="0.2">
      <c r="A955" s="269"/>
      <c r="B955" s="190"/>
      <c r="C955" s="13"/>
      <c r="D955" s="14" t="s">
        <v>30</v>
      </c>
      <c r="E955" s="77" t="s">
        <v>29</v>
      </c>
      <c r="F955" s="39">
        <v>0</v>
      </c>
      <c r="G955" s="35">
        <v>0</v>
      </c>
      <c r="H955" s="35">
        <f>+G955*F955</f>
        <v>0</v>
      </c>
      <c r="I955" s="93"/>
      <c r="J955" s="93">
        <f>SUM(H954:H955)</f>
        <v>0</v>
      </c>
      <c r="K955" s="191"/>
      <c r="L955" s="190"/>
      <c r="M955" s="28"/>
      <c r="N955" s="28"/>
      <c r="O955" s="28"/>
      <c r="P955" s="31"/>
      <c r="Q955" s="191"/>
      <c r="R955" s="269"/>
    </row>
    <row r="956" spans="1:18" s="74" customFormat="1" ht="15" customHeight="1" x14ac:dyDescent="0.2">
      <c r="A956" s="269"/>
      <c r="B956" s="202"/>
      <c r="C956" s="72"/>
      <c r="D956" s="261" t="s">
        <v>109</v>
      </c>
      <c r="E956" s="149"/>
      <c r="F956" s="78"/>
      <c r="G956" s="152"/>
      <c r="H956" s="28"/>
      <c r="I956" s="167"/>
      <c r="J956" s="168"/>
      <c r="K956" s="203"/>
      <c r="L956" s="202"/>
      <c r="M956" s="99"/>
      <c r="N956" s="100"/>
      <c r="O956" s="73"/>
      <c r="P956" s="101"/>
      <c r="Q956" s="203"/>
      <c r="R956" s="276"/>
    </row>
    <row r="957" spans="1:18" ht="15" customHeight="1" x14ac:dyDescent="0.2">
      <c r="A957" s="269"/>
      <c r="B957" s="190"/>
      <c r="C957" s="13"/>
      <c r="D957" s="14" t="s">
        <v>110</v>
      </c>
      <c r="E957" s="90" t="s">
        <v>117</v>
      </c>
      <c r="F957" s="39">
        <v>0</v>
      </c>
      <c r="G957" s="35">
        <v>0</v>
      </c>
      <c r="H957" s="35">
        <f>F957*G957</f>
        <v>0</v>
      </c>
      <c r="I957" s="93"/>
      <c r="J957" s="93">
        <f>SUM(H956:H957)</f>
        <v>0</v>
      </c>
      <c r="K957" s="191"/>
      <c r="L957" s="190"/>
      <c r="M957" s="28"/>
      <c r="N957" s="28"/>
      <c r="O957" s="28"/>
      <c r="P957" s="31"/>
      <c r="Q957" s="191"/>
      <c r="R957" s="269"/>
    </row>
    <row r="958" spans="1:18" ht="15" customHeight="1" x14ac:dyDescent="0.2">
      <c r="A958" s="269"/>
      <c r="B958" s="190"/>
      <c r="C958" s="13"/>
      <c r="D958" s="14" t="s">
        <v>64</v>
      </c>
      <c r="E958" s="77" t="s">
        <v>29</v>
      </c>
      <c r="F958" s="39">
        <v>0</v>
      </c>
      <c r="G958" s="35">
        <v>0</v>
      </c>
      <c r="H958" s="35">
        <f>F958*G958</f>
        <v>0</v>
      </c>
      <c r="I958" s="93"/>
      <c r="J958" s="93">
        <f>SUM(H957:H958)</f>
        <v>0</v>
      </c>
      <c r="K958" s="191"/>
      <c r="L958" s="190"/>
      <c r="M958" s="28"/>
      <c r="N958" s="28"/>
      <c r="O958" s="28"/>
      <c r="P958" s="31"/>
      <c r="Q958" s="191"/>
      <c r="R958" s="269"/>
    </row>
    <row r="959" spans="1:18" s="74" customFormat="1" ht="15" customHeight="1" x14ac:dyDescent="0.2">
      <c r="A959" s="269"/>
      <c r="B959" s="202"/>
      <c r="C959" s="72"/>
      <c r="D959" s="473" t="s">
        <v>51</v>
      </c>
      <c r="E959" s="149"/>
      <c r="F959" s="78"/>
      <c r="G959" s="152"/>
      <c r="H959" s="28"/>
      <c r="I959" s="167"/>
      <c r="J959" s="168"/>
      <c r="K959" s="203"/>
      <c r="L959" s="202"/>
      <c r="M959" s="99"/>
      <c r="N959" s="100"/>
      <c r="O959" s="73"/>
      <c r="P959" s="101"/>
      <c r="Q959" s="203"/>
      <c r="R959" s="276"/>
    </row>
    <row r="960" spans="1:18" ht="15" customHeight="1" x14ac:dyDescent="0.2">
      <c r="A960" s="269"/>
      <c r="B960" s="190"/>
      <c r="C960" s="13"/>
      <c r="D960" s="75" t="s">
        <v>135</v>
      </c>
      <c r="E960" s="90" t="s">
        <v>121</v>
      </c>
      <c r="F960" s="39">
        <v>1500</v>
      </c>
      <c r="G960" s="35">
        <v>100</v>
      </c>
      <c r="H960" s="35">
        <f>+G960*F960</f>
        <v>150000</v>
      </c>
      <c r="I960" s="93">
        <f>H960*21%</f>
        <v>31500</v>
      </c>
      <c r="J960" s="93">
        <f>H960+I960</f>
        <v>181500</v>
      </c>
      <c r="K960" s="191"/>
      <c r="L960" s="190"/>
      <c r="M960" s="28">
        <f>H960*30%</f>
        <v>45000</v>
      </c>
      <c r="N960" s="28">
        <f>H960*60%</f>
        <v>90000</v>
      </c>
      <c r="O960" s="28">
        <f>H960-M960-N960</f>
        <v>15000</v>
      </c>
      <c r="P960" s="31"/>
      <c r="Q960" s="191"/>
      <c r="R960" s="269"/>
    </row>
    <row r="961" spans="1:18" ht="15" customHeight="1" x14ac:dyDescent="0.2">
      <c r="A961" s="269"/>
      <c r="B961" s="190"/>
      <c r="C961" s="13"/>
      <c r="D961" s="75" t="s">
        <v>136</v>
      </c>
      <c r="E961" s="90" t="s">
        <v>121</v>
      </c>
      <c r="F961" s="39">
        <v>500</v>
      </c>
      <c r="G961" s="35">
        <v>100</v>
      </c>
      <c r="H961" s="35">
        <f>+G961*F961</f>
        <v>50000</v>
      </c>
      <c r="I961" s="93">
        <f>H961*21%</f>
        <v>10500</v>
      </c>
      <c r="J961" s="93">
        <f>H961+I961</f>
        <v>60500</v>
      </c>
      <c r="K961" s="191"/>
      <c r="L961" s="190"/>
      <c r="M961" s="28">
        <f>H961*30%</f>
        <v>15000</v>
      </c>
      <c r="N961" s="28">
        <f>H961*60%</f>
        <v>30000</v>
      </c>
      <c r="O961" s="28">
        <f>H961-M961-N961</f>
        <v>5000</v>
      </c>
      <c r="P961" s="31"/>
      <c r="Q961" s="191"/>
      <c r="R961" s="269"/>
    </row>
    <row r="962" spans="1:18" s="74" customFormat="1" ht="15" customHeight="1" x14ac:dyDescent="0.2">
      <c r="A962" s="269"/>
      <c r="B962" s="202"/>
      <c r="C962" s="72"/>
      <c r="D962" s="261" t="s">
        <v>92</v>
      </c>
      <c r="E962" s="149"/>
      <c r="F962" s="78"/>
      <c r="G962" s="152"/>
      <c r="H962" s="28"/>
      <c r="I962" s="167"/>
      <c r="J962" s="168"/>
      <c r="K962" s="203"/>
      <c r="L962" s="202"/>
      <c r="M962" s="99"/>
      <c r="N962" s="100"/>
      <c r="O962" s="73"/>
      <c r="P962" s="101"/>
      <c r="Q962" s="203"/>
      <c r="R962" s="276"/>
    </row>
    <row r="963" spans="1:18" ht="15" customHeight="1" x14ac:dyDescent="0.2">
      <c r="A963" s="269"/>
      <c r="B963" s="190"/>
      <c r="C963" s="13"/>
      <c r="D963" s="14" t="s">
        <v>103</v>
      </c>
      <c r="E963" s="90" t="s">
        <v>117</v>
      </c>
      <c r="F963" s="39">
        <v>0</v>
      </c>
      <c r="G963" s="35">
        <v>0</v>
      </c>
      <c r="H963" s="35">
        <f>F963*G963</f>
        <v>0</v>
      </c>
      <c r="I963" s="79">
        <v>0</v>
      </c>
      <c r="J963" s="93">
        <f>SUM(H962:H963)+I963</f>
        <v>0</v>
      </c>
      <c r="K963" s="191"/>
      <c r="L963" s="190"/>
      <c r="M963" s="28"/>
      <c r="N963" s="28"/>
      <c r="O963" s="28"/>
      <c r="P963" s="31"/>
      <c r="Q963" s="191"/>
      <c r="R963" s="269"/>
    </row>
    <row r="964" spans="1:18" ht="15" customHeight="1" x14ac:dyDescent="0.2">
      <c r="A964" s="269"/>
      <c r="B964" s="190"/>
      <c r="C964" s="13"/>
      <c r="D964" s="40" t="s">
        <v>111</v>
      </c>
      <c r="E964" s="90" t="s">
        <v>117</v>
      </c>
      <c r="F964" s="39">
        <v>0</v>
      </c>
      <c r="G964" s="35">
        <v>0</v>
      </c>
      <c r="H964" s="163">
        <f>+G964*F964</f>
        <v>0</v>
      </c>
      <c r="I964" s="93">
        <f>SUM(H963:H964)*21%</f>
        <v>0</v>
      </c>
      <c r="J964" s="93">
        <f>SUM(H963:H964)+I964</f>
        <v>0</v>
      </c>
      <c r="K964" s="191"/>
      <c r="L964" s="190"/>
      <c r="M964" s="28"/>
      <c r="N964" s="28">
        <f>SUM(H963:H964)</f>
        <v>0</v>
      </c>
      <c r="O964" s="28"/>
      <c r="P964" s="31"/>
      <c r="Q964" s="191"/>
      <c r="R964" s="269"/>
    </row>
    <row r="965" spans="1:18" s="51" customFormat="1" ht="15" customHeight="1" x14ac:dyDescent="0.2">
      <c r="A965" s="269"/>
      <c r="B965" s="192"/>
      <c r="C965" s="140">
        <f>SUM(C940:C964)</f>
        <v>5</v>
      </c>
      <c r="D965" s="139"/>
      <c r="E965" s="102"/>
      <c r="F965" s="532" t="s">
        <v>1</v>
      </c>
      <c r="G965" s="533"/>
      <c r="H965" s="332">
        <f>SUM(H964+H963+H961+H960+H958+H957+H955+H954+H952+H947+H946+H945+H944+H943+H942+H941+H939)</f>
        <v>4855000</v>
      </c>
      <c r="I965" s="328">
        <f>SUM(I964+I963+I961+I960+I958+I957+I955+I954+I952+I947+I946+I945+I944+I943+I942+I941+I939)</f>
        <v>932400</v>
      </c>
      <c r="J965" s="328">
        <f>SUM(J964+J963+J961+J960+J958+J957+J955+J954+J952+J947+J946+J945+J944+J943+J942+J941+J939)</f>
        <v>5787400</v>
      </c>
      <c r="K965" s="282"/>
      <c r="L965" s="281"/>
      <c r="M965" s="329">
        <f>SUM(M939:M964)</f>
        <v>353700</v>
      </c>
      <c r="N965" s="330">
        <f>SUM(N939:N964)</f>
        <v>2036800</v>
      </c>
      <c r="O965" s="331">
        <f>SUM(O939:O964)</f>
        <v>1007500</v>
      </c>
      <c r="P965" s="333">
        <f>SUM(M965:O965)</f>
        <v>3398000</v>
      </c>
      <c r="Q965" s="193"/>
      <c r="R965" s="273"/>
    </row>
    <row r="966" spans="1:18" s="49" customFormat="1" ht="30" customHeight="1" x14ac:dyDescent="0.2">
      <c r="A966" s="269"/>
      <c r="B966" s="184"/>
      <c r="C966" s="65"/>
      <c r="D966" s="6"/>
      <c r="E966" s="7"/>
      <c r="F966" s="8"/>
      <c r="G966" s="8"/>
      <c r="H966" s="9"/>
      <c r="I966" s="50"/>
      <c r="J966" s="50"/>
      <c r="K966" s="185"/>
      <c r="L966" s="184"/>
      <c r="M966" s="54"/>
      <c r="N966" s="54"/>
      <c r="O966" s="54"/>
      <c r="P966" s="55"/>
      <c r="Q966" s="185"/>
      <c r="R966" s="269"/>
    </row>
    <row r="967" spans="1:18" s="51" customFormat="1" ht="15" customHeight="1" x14ac:dyDescent="0.2">
      <c r="A967" s="269"/>
      <c r="B967" s="196"/>
      <c r="C967" s="295">
        <v>21</v>
      </c>
      <c r="D967" s="300" t="s">
        <v>33</v>
      </c>
      <c r="E967" s="323" t="s">
        <v>74</v>
      </c>
      <c r="F967" s="324" t="s">
        <v>38</v>
      </c>
      <c r="G967" s="325" t="s">
        <v>39</v>
      </c>
      <c r="H967" s="321" t="s">
        <v>52</v>
      </c>
      <c r="I967" s="326" t="s">
        <v>55</v>
      </c>
      <c r="J967" s="326" t="s">
        <v>130</v>
      </c>
      <c r="K967" s="197"/>
      <c r="L967" s="196"/>
      <c r="M967" s="327" t="s">
        <v>88</v>
      </c>
      <c r="N967" s="327" t="s">
        <v>25</v>
      </c>
      <c r="O967" s="327" t="s">
        <v>54</v>
      </c>
      <c r="P967" s="322" t="s">
        <v>52</v>
      </c>
      <c r="Q967" s="197"/>
      <c r="R967" s="273"/>
    </row>
    <row r="968" spans="1:18" ht="15" customHeight="1" x14ac:dyDescent="0.2">
      <c r="A968" s="269"/>
      <c r="B968" s="190"/>
      <c r="C968" s="63"/>
      <c r="D968" s="259" t="s">
        <v>155</v>
      </c>
      <c r="E968" s="222"/>
      <c r="F968" s="222"/>
      <c r="G968" s="152"/>
      <c r="H968" s="76"/>
      <c r="I968" s="164"/>
      <c r="J968" s="79"/>
      <c r="K968" s="191"/>
      <c r="L968" s="190"/>
      <c r="M968" s="256"/>
      <c r="N968" s="82"/>
      <c r="O968" s="152"/>
      <c r="P968" s="31"/>
      <c r="Q968" s="191"/>
      <c r="R968" s="269"/>
    </row>
    <row r="969" spans="1:18" ht="15" customHeight="1" x14ac:dyDescent="0.2">
      <c r="A969" s="269"/>
      <c r="B969" s="190"/>
      <c r="C969" s="63"/>
      <c r="D969" s="75" t="s">
        <v>154</v>
      </c>
      <c r="E969" s="222"/>
      <c r="F969" s="222"/>
      <c r="G969" s="105"/>
      <c r="H969" s="32"/>
      <c r="I969" s="164"/>
      <c r="J969" s="79"/>
      <c r="K969" s="191"/>
      <c r="L969" s="190"/>
      <c r="M969" s="109"/>
      <c r="N969" s="110"/>
      <c r="O969" s="29"/>
      <c r="P969" s="31"/>
      <c r="Q969" s="191"/>
      <c r="R969" s="269"/>
    </row>
    <row r="970" spans="1:18" ht="15" customHeight="1" x14ac:dyDescent="0.2">
      <c r="A970" s="269"/>
      <c r="B970" s="190"/>
      <c r="C970" s="63"/>
      <c r="D970" s="96"/>
      <c r="E970" s="77" t="s">
        <v>205</v>
      </c>
      <c r="F970" s="83">
        <v>12000</v>
      </c>
      <c r="G970" s="28">
        <v>16</v>
      </c>
      <c r="H970" s="28">
        <f>F970*G970</f>
        <v>192000</v>
      </c>
      <c r="I970" s="93">
        <f>H970*21%</f>
        <v>40320</v>
      </c>
      <c r="J970" s="93">
        <f>H970+I970</f>
        <v>232320</v>
      </c>
      <c r="K970" s="191"/>
      <c r="L970" s="190"/>
      <c r="M970" s="28">
        <f>H970/6</f>
        <v>32000</v>
      </c>
      <c r="N970" s="28">
        <f>H970-M970</f>
        <v>160000</v>
      </c>
      <c r="O970" s="28"/>
      <c r="P970" s="31"/>
      <c r="Q970" s="191"/>
      <c r="R970" s="269"/>
    </row>
    <row r="971" spans="1:18" s="172" customFormat="1" ht="15" customHeight="1" x14ac:dyDescent="0.2">
      <c r="A971" s="269"/>
      <c r="B971" s="200"/>
      <c r="C971" s="63"/>
      <c r="D971" s="259" t="s">
        <v>69</v>
      </c>
      <c r="E971" s="77" t="s">
        <v>205</v>
      </c>
      <c r="F971" s="83">
        <v>14000</v>
      </c>
      <c r="G971" s="83">
        <v>16</v>
      </c>
      <c r="H971" s="83">
        <f>+F971*G971</f>
        <v>224000</v>
      </c>
      <c r="I971" s="93">
        <f>H971*21%</f>
        <v>47040</v>
      </c>
      <c r="J971" s="93">
        <f>H971+I971</f>
        <v>271040</v>
      </c>
      <c r="K971" s="201"/>
      <c r="L971" s="200"/>
      <c r="M971" s="83"/>
      <c r="N971" s="83">
        <f>H971</f>
        <v>224000</v>
      </c>
      <c r="O971" s="83"/>
      <c r="P971" s="31"/>
      <c r="Q971" s="201"/>
      <c r="R971" s="275"/>
    </row>
    <row r="972" spans="1:18" ht="15" customHeight="1" x14ac:dyDescent="0.2">
      <c r="A972" s="269"/>
      <c r="B972" s="190"/>
      <c r="C972" s="63"/>
      <c r="D972" s="471" t="s">
        <v>19</v>
      </c>
      <c r="E972" s="149" t="s">
        <v>35</v>
      </c>
      <c r="F972" s="78"/>
      <c r="G972" s="152"/>
      <c r="H972" s="28"/>
      <c r="I972" s="169"/>
      <c r="J972" s="92"/>
      <c r="K972" s="191"/>
      <c r="L972" s="190"/>
      <c r="M972" s="28"/>
      <c r="N972" s="28">
        <f>H972</f>
        <v>0</v>
      </c>
      <c r="O972" s="28"/>
      <c r="P972" s="31"/>
      <c r="Q972" s="191"/>
      <c r="R972" s="269"/>
    </row>
    <row r="973" spans="1:18" ht="15" customHeight="1" x14ac:dyDescent="0.2">
      <c r="A973" s="269"/>
      <c r="B973" s="190"/>
      <c r="C973" s="63"/>
      <c r="D973" s="56" t="s">
        <v>86</v>
      </c>
      <c r="E973" s="90" t="s">
        <v>205</v>
      </c>
      <c r="F973" s="28">
        <v>7250</v>
      </c>
      <c r="G973" s="28">
        <v>16</v>
      </c>
      <c r="H973" s="28">
        <f>+F973*G973</f>
        <v>116000</v>
      </c>
      <c r="I973" s="93">
        <f>H973*21%</f>
        <v>24360</v>
      </c>
      <c r="J973" s="93">
        <f>H973+I973</f>
        <v>140360</v>
      </c>
      <c r="K973" s="191"/>
      <c r="L973" s="190"/>
      <c r="M973" s="28">
        <f>H973*30%</f>
        <v>34800</v>
      </c>
      <c r="N973" s="28">
        <f>H973*60%</f>
        <v>69600</v>
      </c>
      <c r="O973" s="28">
        <f>H973-M973-N973</f>
        <v>11600</v>
      </c>
      <c r="P973" s="31"/>
      <c r="Q973" s="191"/>
      <c r="R973" s="269"/>
    </row>
    <row r="974" spans="1:18" s="51" customFormat="1" ht="15" customHeight="1" x14ac:dyDescent="0.2">
      <c r="A974" s="269"/>
      <c r="B974" s="192"/>
      <c r="C974" s="140">
        <f>SUM(C968:C973)</f>
        <v>0</v>
      </c>
      <c r="D974" s="139"/>
      <c r="E974" s="102"/>
      <c r="F974" s="532" t="s">
        <v>0</v>
      </c>
      <c r="G974" s="533"/>
      <c r="H974" s="332">
        <f>SUM(H970+H971+H973)</f>
        <v>532000</v>
      </c>
      <c r="I974" s="328">
        <f>SUM(I970+I971+I973)</f>
        <v>111720</v>
      </c>
      <c r="J974" s="328">
        <f>SUM(J970+J971+J973)</f>
        <v>643720</v>
      </c>
      <c r="K974" s="282"/>
      <c r="L974" s="281"/>
      <c r="M974" s="329">
        <f>SUM(M968:M973)</f>
        <v>66800</v>
      </c>
      <c r="N974" s="330">
        <f>SUM(N968:N973)</f>
        <v>453600</v>
      </c>
      <c r="O974" s="331">
        <f>SUM(O968:O973)</f>
        <v>11600</v>
      </c>
      <c r="P974" s="333">
        <f>SUM(M974:O974)</f>
        <v>532000</v>
      </c>
      <c r="Q974" s="193"/>
      <c r="R974" s="273"/>
    </row>
    <row r="975" spans="1:18" s="49" customFormat="1" ht="30" customHeight="1" x14ac:dyDescent="0.2">
      <c r="A975" s="269"/>
      <c r="B975" s="184"/>
      <c r="C975" s="65"/>
      <c r="D975" s="6"/>
      <c r="E975" s="7"/>
      <c r="F975" s="8"/>
      <c r="G975" s="8"/>
      <c r="H975" s="9"/>
      <c r="I975" s="50"/>
      <c r="J975" s="50"/>
      <c r="K975" s="185"/>
      <c r="L975" s="184"/>
      <c r="M975" s="54"/>
      <c r="N975" s="54"/>
      <c r="O975" s="54"/>
      <c r="P975" s="55"/>
      <c r="Q975" s="185"/>
      <c r="R975" s="269"/>
    </row>
    <row r="976" spans="1:18" s="51" customFormat="1" ht="15" customHeight="1" x14ac:dyDescent="0.2">
      <c r="A976" s="269"/>
      <c r="B976" s="196"/>
      <c r="C976" s="295">
        <v>22</v>
      </c>
      <c r="D976" s="300" t="s">
        <v>320</v>
      </c>
      <c r="E976" s="323" t="s">
        <v>74</v>
      </c>
      <c r="F976" s="324" t="s">
        <v>38</v>
      </c>
      <c r="G976" s="325" t="s">
        <v>39</v>
      </c>
      <c r="H976" s="321" t="s">
        <v>52</v>
      </c>
      <c r="I976" s="326" t="s">
        <v>55</v>
      </c>
      <c r="J976" s="326" t="s">
        <v>130</v>
      </c>
      <c r="K976" s="197"/>
      <c r="L976" s="196"/>
      <c r="M976" s="327" t="s">
        <v>88</v>
      </c>
      <c r="N976" s="327" t="s">
        <v>25</v>
      </c>
      <c r="O976" s="327" t="s">
        <v>54</v>
      </c>
      <c r="P976" s="322" t="s">
        <v>52</v>
      </c>
      <c r="Q976" s="197"/>
      <c r="R976" s="273"/>
    </row>
    <row r="977" spans="1:18" s="52" customFormat="1" ht="15" customHeight="1" x14ac:dyDescent="0.2">
      <c r="A977" s="269"/>
      <c r="B977" s="190"/>
      <c r="C977" s="63"/>
      <c r="D977" s="261" t="s">
        <v>144</v>
      </c>
      <c r="E977" s="291" t="s">
        <v>98</v>
      </c>
      <c r="F977" s="292"/>
      <c r="G977" s="293" t="s">
        <v>127</v>
      </c>
      <c r="H977" s="170"/>
      <c r="I977" s="166"/>
      <c r="J977" s="160"/>
      <c r="K977" s="191"/>
      <c r="L977" s="190"/>
      <c r="M977" s="106"/>
      <c r="N977" s="107"/>
      <c r="O977" s="154"/>
      <c r="P977" s="117"/>
      <c r="Q977" s="191"/>
      <c r="R977" s="269"/>
    </row>
    <row r="978" spans="1:18" ht="15" customHeight="1" x14ac:dyDescent="0.2">
      <c r="A978" s="269"/>
      <c r="B978" s="190"/>
      <c r="C978" s="63"/>
      <c r="D978" s="94" t="s">
        <v>126</v>
      </c>
      <c r="E978" s="103">
        <v>48</v>
      </c>
      <c r="F978" s="29">
        <v>600</v>
      </c>
      <c r="G978" s="103">
        <v>75</v>
      </c>
      <c r="H978" s="28">
        <f>+E978*F978*G978</f>
        <v>2160000</v>
      </c>
      <c r="I978" s="165"/>
      <c r="J978" s="80"/>
      <c r="K978" s="191"/>
      <c r="L978" s="190"/>
      <c r="M978" s="109"/>
      <c r="N978" s="110"/>
      <c r="O978" s="29"/>
      <c r="P978" s="118"/>
      <c r="Q978" s="191"/>
      <c r="R978" s="269"/>
    </row>
    <row r="979" spans="1:18" ht="15" customHeight="1" x14ac:dyDescent="0.2">
      <c r="A979" s="269"/>
      <c r="B979" s="190"/>
      <c r="C979" s="63"/>
      <c r="D979" s="81"/>
      <c r="E979" s="115"/>
      <c r="F979" s="28"/>
      <c r="G979" s="294"/>
      <c r="H979" s="28"/>
      <c r="I979" s="93">
        <f>+H978*21%</f>
        <v>453600</v>
      </c>
      <c r="J979" s="93">
        <f>+I979+H978</f>
        <v>2613600</v>
      </c>
      <c r="K979" s="191"/>
      <c r="L979" s="190"/>
      <c r="M979" s="28"/>
      <c r="N979" s="28"/>
      <c r="O979" s="28"/>
      <c r="P979" s="31"/>
      <c r="Q979" s="191"/>
      <c r="R979" s="269"/>
    </row>
    <row r="980" spans="1:18" s="51" customFormat="1" ht="15" customHeight="1" x14ac:dyDescent="0.2">
      <c r="A980" s="269"/>
      <c r="B980" s="192"/>
      <c r="C980" s="140">
        <f>SUM(C977:C979)</f>
        <v>0</v>
      </c>
      <c r="D980" s="139"/>
      <c r="E980" s="102"/>
      <c r="F980" s="532" t="s">
        <v>65</v>
      </c>
      <c r="G980" s="533"/>
      <c r="H980" s="332">
        <f>SUM(H978:H979)</f>
        <v>2160000</v>
      </c>
      <c r="I980" s="328">
        <f>SUM(I979:I979)</f>
        <v>453600</v>
      </c>
      <c r="J980" s="328">
        <f>SUM(J979:K979)</f>
        <v>2613600</v>
      </c>
      <c r="K980" s="282"/>
      <c r="L980" s="281"/>
      <c r="M980" s="329"/>
      <c r="N980" s="330"/>
      <c r="O980" s="331">
        <f>SUM(O977:O979)</f>
        <v>0</v>
      </c>
      <c r="P980" s="333">
        <f>SUM(M980:O980)</f>
        <v>0</v>
      </c>
      <c r="Q980" s="193"/>
      <c r="R980" s="273"/>
    </row>
    <row r="981" spans="1:18" s="49" customFormat="1" ht="30" customHeight="1" x14ac:dyDescent="0.2">
      <c r="A981" s="269"/>
      <c r="B981" s="184"/>
      <c r="C981" s="65"/>
      <c r="D981" s="6"/>
      <c r="E981" s="7"/>
      <c r="F981" s="8"/>
      <c r="G981" s="8"/>
      <c r="H981" s="9"/>
      <c r="I981" s="50"/>
      <c r="J981" s="50"/>
      <c r="K981" s="185"/>
      <c r="L981" s="184"/>
      <c r="M981" s="54"/>
      <c r="N981" s="54"/>
      <c r="O981" s="54"/>
      <c r="P981" s="55"/>
      <c r="Q981" s="185"/>
      <c r="R981" s="269"/>
    </row>
    <row r="982" spans="1:18" s="51" customFormat="1" ht="15" customHeight="1" x14ac:dyDescent="0.2">
      <c r="A982" s="269"/>
      <c r="B982" s="196"/>
      <c r="C982" s="295">
        <v>23</v>
      </c>
      <c r="D982" s="300" t="s">
        <v>85</v>
      </c>
      <c r="E982" s="323" t="s">
        <v>74</v>
      </c>
      <c r="F982" s="324" t="s">
        <v>38</v>
      </c>
      <c r="G982" s="325" t="s">
        <v>39</v>
      </c>
      <c r="H982" s="321" t="s">
        <v>52</v>
      </c>
      <c r="I982" s="326" t="s">
        <v>55</v>
      </c>
      <c r="J982" s="326" t="s">
        <v>130</v>
      </c>
      <c r="K982" s="197"/>
      <c r="L982" s="196"/>
      <c r="M982" s="327" t="s">
        <v>88</v>
      </c>
      <c r="N982" s="327" t="s">
        <v>25</v>
      </c>
      <c r="O982" s="327" t="s">
        <v>54</v>
      </c>
      <c r="P982" s="322" t="s">
        <v>52</v>
      </c>
      <c r="Q982" s="197"/>
      <c r="R982" s="273"/>
    </row>
    <row r="983" spans="1:18" ht="15" customHeight="1" x14ac:dyDescent="0.2">
      <c r="A983" s="269"/>
      <c r="B983" s="190"/>
      <c r="C983" s="63"/>
      <c r="D983" s="470" t="s">
        <v>325</v>
      </c>
      <c r="E983" s="19" t="s">
        <v>60</v>
      </c>
      <c r="F983" s="28">
        <v>0</v>
      </c>
      <c r="G983" s="28">
        <v>8</v>
      </c>
      <c r="H983" s="28">
        <f t="shared" ref="H983:H994" si="6">F983*G983</f>
        <v>0</v>
      </c>
      <c r="I983" s="93">
        <f>H983*21%</f>
        <v>0</v>
      </c>
      <c r="J983" s="93">
        <f>H983+I983</f>
        <v>0</v>
      </c>
      <c r="K983" s="191"/>
      <c r="L983" s="190"/>
      <c r="M983" s="28">
        <f t="shared" ref="M983:M994" si="7">H983*33%</f>
        <v>0</v>
      </c>
      <c r="N983" s="28">
        <f t="shared" ref="N983:N994" si="8">H983*34%</f>
        <v>0</v>
      </c>
      <c r="O983" s="28">
        <f t="shared" ref="O983:O994" si="9">H983-M983-N983</f>
        <v>0</v>
      </c>
      <c r="P983" s="31"/>
      <c r="Q983" s="191"/>
      <c r="R983" s="269"/>
    </row>
    <row r="984" spans="1:18" ht="15" customHeight="1" x14ac:dyDescent="0.2">
      <c r="A984" s="269"/>
      <c r="B984" s="190"/>
      <c r="C984" s="13"/>
      <c r="D984" s="257" t="s">
        <v>145</v>
      </c>
      <c r="E984" s="20" t="s">
        <v>104</v>
      </c>
      <c r="F984" s="35"/>
      <c r="G984" s="35"/>
      <c r="H984" s="35">
        <f t="shared" si="6"/>
        <v>0</v>
      </c>
      <c r="I984" s="93">
        <v>0</v>
      </c>
      <c r="J984" s="93">
        <f t="shared" ref="J984:J994" si="10">H984+I984</f>
        <v>0</v>
      </c>
      <c r="K984" s="191"/>
      <c r="L984" s="190"/>
      <c r="M984" s="28">
        <f t="shared" si="7"/>
        <v>0</v>
      </c>
      <c r="N984" s="28">
        <f t="shared" si="8"/>
        <v>0</v>
      </c>
      <c r="O984" s="28">
        <f t="shared" si="9"/>
        <v>0</v>
      </c>
      <c r="P984" s="31"/>
      <c r="Q984" s="191"/>
      <c r="R984" s="269"/>
    </row>
    <row r="985" spans="1:18" ht="15" customHeight="1" x14ac:dyDescent="0.2">
      <c r="A985" s="269"/>
      <c r="B985" s="190"/>
      <c r="C985" s="63"/>
      <c r="D985" s="258" t="s">
        <v>27</v>
      </c>
      <c r="E985" s="19" t="s">
        <v>60</v>
      </c>
      <c r="F985" s="28">
        <v>12000</v>
      </c>
      <c r="G985" s="28">
        <v>6</v>
      </c>
      <c r="H985" s="28">
        <f t="shared" si="6"/>
        <v>72000</v>
      </c>
      <c r="I985" s="93">
        <v>0</v>
      </c>
      <c r="J985" s="93">
        <f t="shared" si="10"/>
        <v>72000</v>
      </c>
      <c r="K985" s="191"/>
      <c r="L985" s="190"/>
      <c r="M985" s="28"/>
      <c r="N985" s="28"/>
      <c r="O985" s="28">
        <f t="shared" si="9"/>
        <v>72000</v>
      </c>
      <c r="P985" s="31"/>
      <c r="Q985" s="191"/>
      <c r="R985" s="269"/>
    </row>
    <row r="986" spans="1:18" ht="15" customHeight="1" x14ac:dyDescent="0.2">
      <c r="A986" s="269"/>
      <c r="B986" s="190"/>
      <c r="C986" s="63"/>
      <c r="D986" s="258" t="s">
        <v>228</v>
      </c>
      <c r="E986" s="19" t="s">
        <v>60</v>
      </c>
      <c r="F986" s="28">
        <v>20000</v>
      </c>
      <c r="G986" s="28">
        <v>6</v>
      </c>
      <c r="H986" s="28">
        <f t="shared" si="6"/>
        <v>120000</v>
      </c>
      <c r="I986" s="93">
        <f>H986*21%</f>
        <v>25200</v>
      </c>
      <c r="J986" s="93">
        <f t="shared" si="10"/>
        <v>145200</v>
      </c>
      <c r="K986" s="191"/>
      <c r="L986" s="190"/>
      <c r="M986" s="28"/>
      <c r="N986" s="28"/>
      <c r="O986" s="28">
        <f t="shared" si="9"/>
        <v>120000</v>
      </c>
      <c r="P986" s="31"/>
      <c r="Q986" s="191"/>
      <c r="R986" s="269"/>
    </row>
    <row r="987" spans="1:18" ht="15" customHeight="1" x14ac:dyDescent="0.2">
      <c r="A987" s="269"/>
      <c r="B987" s="340"/>
      <c r="C987" s="63"/>
      <c r="D987" s="258" t="s">
        <v>229</v>
      </c>
      <c r="E987" s="104" t="s">
        <v>201</v>
      </c>
      <c r="F987" s="28">
        <v>40000</v>
      </c>
      <c r="G987" s="28">
        <v>8</v>
      </c>
      <c r="H987" s="28">
        <f t="shared" si="6"/>
        <v>320000</v>
      </c>
      <c r="I987" s="93">
        <f>H987*21%</f>
        <v>67200</v>
      </c>
      <c r="J987" s="93">
        <f>+H987+I987</f>
        <v>387200</v>
      </c>
      <c r="K987" s="341"/>
      <c r="L987" s="340"/>
      <c r="M987" s="28"/>
      <c r="N987" s="28"/>
      <c r="O987" s="28">
        <f t="shared" si="9"/>
        <v>320000</v>
      </c>
      <c r="P987" s="31"/>
      <c r="Q987" s="341"/>
      <c r="R987" s="269"/>
    </row>
    <row r="988" spans="1:18" ht="15" customHeight="1" x14ac:dyDescent="0.2">
      <c r="A988" s="269"/>
      <c r="B988" s="190"/>
      <c r="C988" s="63"/>
      <c r="D988" s="470" t="s">
        <v>326</v>
      </c>
      <c r="E988" s="104" t="s">
        <v>60</v>
      </c>
      <c r="F988" s="28">
        <v>18000</v>
      </c>
      <c r="G988" s="28">
        <v>6</v>
      </c>
      <c r="H988" s="28">
        <f t="shared" si="6"/>
        <v>108000</v>
      </c>
      <c r="I988" s="93">
        <f>H988*21%</f>
        <v>22680</v>
      </c>
      <c r="J988" s="93">
        <f t="shared" si="10"/>
        <v>130680</v>
      </c>
      <c r="K988" s="191"/>
      <c r="L988" s="190"/>
      <c r="M988" s="28"/>
      <c r="N988" s="28"/>
      <c r="O988" s="28">
        <f t="shared" si="9"/>
        <v>108000</v>
      </c>
      <c r="P988" s="31"/>
      <c r="Q988" s="191"/>
      <c r="R988" s="269"/>
    </row>
    <row r="989" spans="1:18" ht="15" customHeight="1" x14ac:dyDescent="0.2">
      <c r="A989" s="269"/>
      <c r="B989" s="190"/>
      <c r="C989" s="63"/>
      <c r="D989" s="258" t="s">
        <v>70</v>
      </c>
      <c r="E989" s="90" t="s">
        <v>117</v>
      </c>
      <c r="F989" s="28">
        <v>100000</v>
      </c>
      <c r="G989" s="28">
        <v>1</v>
      </c>
      <c r="H989" s="28">
        <f t="shared" si="6"/>
        <v>100000</v>
      </c>
      <c r="I989" s="93">
        <v>0</v>
      </c>
      <c r="J989" s="93">
        <f t="shared" si="10"/>
        <v>100000</v>
      </c>
      <c r="K989" s="191"/>
      <c r="L989" s="190"/>
      <c r="M989" s="28"/>
      <c r="N989" s="28"/>
      <c r="O989" s="28">
        <f t="shared" si="9"/>
        <v>100000</v>
      </c>
      <c r="P989" s="31"/>
      <c r="Q989" s="191"/>
      <c r="R989" s="269"/>
    </row>
    <row r="990" spans="1:18" ht="15" customHeight="1" x14ac:dyDescent="0.2">
      <c r="A990" s="269"/>
      <c r="B990" s="190"/>
      <c r="C990" s="63"/>
      <c r="D990" s="258" t="s">
        <v>71</v>
      </c>
      <c r="E990" s="19" t="s">
        <v>60</v>
      </c>
      <c r="F990" s="28">
        <v>35000</v>
      </c>
      <c r="G990" s="28">
        <v>7</v>
      </c>
      <c r="H990" s="28">
        <f t="shared" si="6"/>
        <v>245000</v>
      </c>
      <c r="I990" s="93">
        <v>0</v>
      </c>
      <c r="J990" s="93">
        <f t="shared" si="10"/>
        <v>245000</v>
      </c>
      <c r="K990" s="191"/>
      <c r="L990" s="190"/>
      <c r="M990" s="28"/>
      <c r="N990" s="28"/>
      <c r="O990" s="28">
        <f t="shared" si="9"/>
        <v>245000</v>
      </c>
      <c r="P990" s="31"/>
      <c r="Q990" s="191"/>
      <c r="R990" s="269"/>
    </row>
    <row r="991" spans="1:18" ht="15" customHeight="1" x14ac:dyDescent="0.2">
      <c r="A991" s="269"/>
      <c r="B991" s="340"/>
      <c r="C991" s="63"/>
      <c r="D991" s="258" t="s">
        <v>230</v>
      </c>
      <c r="E991" s="104" t="s">
        <v>60</v>
      </c>
      <c r="F991" s="28">
        <v>20000</v>
      </c>
      <c r="G991" s="28">
        <v>7</v>
      </c>
      <c r="H991" s="28">
        <f t="shared" si="6"/>
        <v>140000</v>
      </c>
      <c r="I991" s="93">
        <f>+H991*21%</f>
        <v>29400</v>
      </c>
      <c r="J991" s="93">
        <f>+H991+I991</f>
        <v>169400</v>
      </c>
      <c r="K991" s="341"/>
      <c r="L991" s="340"/>
      <c r="M991" s="28"/>
      <c r="N991" s="28"/>
      <c r="O991" s="28">
        <f t="shared" si="9"/>
        <v>140000</v>
      </c>
      <c r="P991" s="31"/>
      <c r="Q991" s="341"/>
      <c r="R991" s="269"/>
    </row>
    <row r="992" spans="1:18" ht="15" customHeight="1" x14ac:dyDescent="0.2">
      <c r="A992" s="269"/>
      <c r="B992" s="340"/>
      <c r="C992" s="63"/>
      <c r="D992" s="258" t="s">
        <v>231</v>
      </c>
      <c r="E992" s="104" t="s">
        <v>201</v>
      </c>
      <c r="F992" s="28">
        <v>25000</v>
      </c>
      <c r="G992" s="28">
        <v>1</v>
      </c>
      <c r="H992" s="28">
        <f t="shared" si="6"/>
        <v>25000</v>
      </c>
      <c r="I992" s="93">
        <f>+H992*21%</f>
        <v>5250</v>
      </c>
      <c r="J992" s="93">
        <f>+H992+I992</f>
        <v>30250</v>
      </c>
      <c r="K992" s="341"/>
      <c r="L992" s="340"/>
      <c r="M992" s="28"/>
      <c r="N992" s="28"/>
      <c r="O992" s="28">
        <f t="shared" si="9"/>
        <v>25000</v>
      </c>
      <c r="P992" s="31"/>
      <c r="Q992" s="341"/>
      <c r="R992" s="269"/>
    </row>
    <row r="993" spans="1:18" ht="15" customHeight="1" x14ac:dyDescent="0.2">
      <c r="A993" s="269"/>
      <c r="B993" s="340"/>
      <c r="C993" s="63"/>
      <c r="D993" s="258" t="s">
        <v>354</v>
      </c>
      <c r="E993" s="104" t="s">
        <v>60</v>
      </c>
      <c r="F993" s="28">
        <v>4000</v>
      </c>
      <c r="G993" s="28">
        <v>7</v>
      </c>
      <c r="H993" s="28">
        <f t="shared" si="6"/>
        <v>28000</v>
      </c>
      <c r="I993" s="93">
        <f>+H993*21%</f>
        <v>5880</v>
      </c>
      <c r="J993" s="93">
        <f>+H993+I993</f>
        <v>33880</v>
      </c>
      <c r="K993" s="341"/>
      <c r="L993" s="340"/>
      <c r="M993" s="28"/>
      <c r="N993" s="28"/>
      <c r="O993" s="28">
        <f t="shared" si="9"/>
        <v>28000</v>
      </c>
      <c r="P993" s="31"/>
      <c r="Q993" s="341"/>
      <c r="R993" s="269"/>
    </row>
    <row r="994" spans="1:18" ht="15" customHeight="1" x14ac:dyDescent="0.2">
      <c r="A994" s="269"/>
      <c r="B994" s="190"/>
      <c r="C994" s="13"/>
      <c r="D994" s="259" t="s">
        <v>233</v>
      </c>
      <c r="E994" s="90" t="s">
        <v>117</v>
      </c>
      <c r="F994" s="35">
        <v>0</v>
      </c>
      <c r="G994" s="35">
        <v>1</v>
      </c>
      <c r="H994" s="28">
        <f t="shared" si="6"/>
        <v>0</v>
      </c>
      <c r="I994" s="93">
        <v>0</v>
      </c>
      <c r="J994" s="93">
        <f t="shared" si="10"/>
        <v>0</v>
      </c>
      <c r="K994" s="191"/>
      <c r="L994" s="190"/>
      <c r="M994" s="28">
        <f t="shared" si="7"/>
        <v>0</v>
      </c>
      <c r="N994" s="28">
        <f t="shared" si="8"/>
        <v>0</v>
      </c>
      <c r="O994" s="28">
        <f t="shared" si="9"/>
        <v>0</v>
      </c>
      <c r="P994" s="31"/>
      <c r="Q994" s="191"/>
      <c r="R994" s="269"/>
    </row>
    <row r="995" spans="1:18" s="51" customFormat="1" ht="15" customHeight="1" x14ac:dyDescent="0.2">
      <c r="A995" s="269"/>
      <c r="B995" s="192"/>
      <c r="C995" s="140">
        <f>SUM(C983:C994)</f>
        <v>0</v>
      </c>
      <c r="D995" s="139"/>
      <c r="E995" s="102"/>
      <c r="F995" s="532" t="s">
        <v>72</v>
      </c>
      <c r="G995" s="533"/>
      <c r="H995" s="332">
        <f>SUM(H983:H994)</f>
        <v>1158000</v>
      </c>
      <c r="I995" s="328">
        <f>SUM(H983:H994)</f>
        <v>1158000</v>
      </c>
      <c r="J995" s="328">
        <f>SUM(J983:J994)</f>
        <v>1313610</v>
      </c>
      <c r="K995" s="282"/>
      <c r="L995" s="281"/>
      <c r="M995" s="329">
        <f>SUM(M983:M994)</f>
        <v>0</v>
      </c>
      <c r="N995" s="330">
        <f>SUM(N983:N994)</f>
        <v>0</v>
      </c>
      <c r="O995" s="331">
        <f>SUM(O983:O994)</f>
        <v>1158000</v>
      </c>
      <c r="P995" s="333">
        <f>SUM(M995:O995)</f>
        <v>1158000</v>
      </c>
      <c r="Q995" s="193"/>
      <c r="R995" s="273"/>
    </row>
    <row r="996" spans="1:18" s="49" customFormat="1" ht="30" customHeight="1" x14ac:dyDescent="0.2">
      <c r="A996" s="269"/>
      <c r="B996" s="184"/>
      <c r="C996" s="65"/>
      <c r="D996" s="6"/>
      <c r="E996" s="7"/>
      <c r="F996" s="8"/>
      <c r="G996" s="8"/>
      <c r="H996" s="9"/>
      <c r="I996" s="50"/>
      <c r="J996" s="50"/>
      <c r="K996" s="185"/>
      <c r="L996" s="184"/>
      <c r="M996" s="54"/>
      <c r="N996" s="54"/>
      <c r="O996" s="54"/>
      <c r="P996" s="55"/>
      <c r="Q996" s="185"/>
      <c r="R996" s="269"/>
    </row>
    <row r="997" spans="1:18" s="51" customFormat="1" ht="15" customHeight="1" x14ac:dyDescent="0.2">
      <c r="A997" s="269"/>
      <c r="B997" s="196"/>
      <c r="C997" s="295">
        <v>24</v>
      </c>
      <c r="D997" s="300" t="s">
        <v>67</v>
      </c>
      <c r="E997" s="323" t="s">
        <v>74</v>
      </c>
      <c r="F997" s="324" t="s">
        <v>38</v>
      </c>
      <c r="G997" s="325" t="s">
        <v>39</v>
      </c>
      <c r="H997" s="321" t="s">
        <v>52</v>
      </c>
      <c r="I997" s="326" t="s">
        <v>55</v>
      </c>
      <c r="J997" s="326" t="s">
        <v>130</v>
      </c>
      <c r="K997" s="197"/>
      <c r="L997" s="196"/>
      <c r="M997" s="327" t="s">
        <v>88</v>
      </c>
      <c r="N997" s="327" t="s">
        <v>25</v>
      </c>
      <c r="O997" s="327" t="s">
        <v>54</v>
      </c>
      <c r="P997" s="322" t="s">
        <v>52</v>
      </c>
      <c r="Q997" s="197"/>
      <c r="R997" s="273"/>
    </row>
    <row r="998" spans="1:18" s="74" customFormat="1" ht="15" customHeight="1" x14ac:dyDescent="0.2">
      <c r="A998" s="269"/>
      <c r="B998" s="202"/>
      <c r="C998" s="13"/>
      <c r="D998" s="473" t="s">
        <v>355</v>
      </c>
      <c r="E998" s="150"/>
      <c r="F998" s="97"/>
      <c r="G998" s="153"/>
      <c r="H998" s="98"/>
      <c r="I998" s="162"/>
      <c r="J998" s="151"/>
      <c r="K998" s="203"/>
      <c r="L998" s="202"/>
      <c r="M998" s="106"/>
      <c r="N998" s="107"/>
      <c r="O998" s="154"/>
      <c r="P998" s="101"/>
      <c r="Q998" s="203"/>
      <c r="R998" s="276"/>
    </row>
    <row r="999" spans="1:18" ht="15" customHeight="1" x14ac:dyDescent="0.2">
      <c r="A999" s="269"/>
      <c r="B999" s="190"/>
      <c r="C999" s="63"/>
      <c r="D999" s="476" t="s">
        <v>322</v>
      </c>
      <c r="E999" s="90" t="s">
        <v>201</v>
      </c>
      <c r="F999" s="60">
        <f>(+H930+H893)*0.02</f>
        <v>329840</v>
      </c>
      <c r="G999" s="28">
        <v>1</v>
      </c>
      <c r="H999" s="28">
        <f>F999*G999:G999</f>
        <v>329840</v>
      </c>
      <c r="I999" s="93">
        <f>H999*21%</f>
        <v>69266.399999999994</v>
      </c>
      <c r="J999" s="93">
        <f>H999+I999</f>
        <v>399106.4</v>
      </c>
      <c r="K999" s="191"/>
      <c r="L999" s="190"/>
      <c r="M999" s="28"/>
      <c r="N999" s="28"/>
      <c r="O999" s="28"/>
      <c r="P999" s="31"/>
      <c r="Q999" s="191"/>
      <c r="R999" s="269"/>
    </row>
    <row r="1000" spans="1:18" s="52" customFormat="1" ht="15" customHeight="1" x14ac:dyDescent="0.2">
      <c r="A1000" s="269"/>
      <c r="B1000" s="190"/>
      <c r="C1000" s="63"/>
      <c r="D1000" s="477" t="s">
        <v>235</v>
      </c>
      <c r="E1000" s="90" t="s">
        <v>60</v>
      </c>
      <c r="F1000" s="28">
        <v>18000</v>
      </c>
      <c r="G1000" s="28">
        <v>6</v>
      </c>
      <c r="H1000" s="28">
        <f>F1000*G1000</f>
        <v>108000</v>
      </c>
      <c r="I1000" s="93">
        <f>H1000*21%</f>
        <v>22680</v>
      </c>
      <c r="J1000" s="93">
        <f>H1000+I1000</f>
        <v>130680</v>
      </c>
      <c r="K1000" s="191"/>
      <c r="L1000" s="190"/>
      <c r="M1000" s="28"/>
      <c r="N1000" s="28"/>
      <c r="O1000" s="28"/>
      <c r="P1000" s="31"/>
      <c r="Q1000" s="191"/>
      <c r="R1000" s="269"/>
    </row>
    <row r="1001" spans="1:18" s="52" customFormat="1" ht="15" customHeight="1" x14ac:dyDescent="0.2">
      <c r="A1001" s="269"/>
      <c r="B1001" s="340"/>
      <c r="C1001" s="63"/>
      <c r="D1001" s="477" t="s">
        <v>234</v>
      </c>
      <c r="E1001" s="90" t="s">
        <v>201</v>
      </c>
      <c r="F1001" s="28"/>
      <c r="G1001" s="28">
        <v>1</v>
      </c>
      <c r="H1001" s="28">
        <f>F1001*G1001</f>
        <v>0</v>
      </c>
      <c r="I1001" s="93">
        <f>H1001*21%</f>
        <v>0</v>
      </c>
      <c r="J1001" s="93">
        <f>H1001+I1001</f>
        <v>0</v>
      </c>
      <c r="K1001" s="341"/>
      <c r="L1001" s="340"/>
      <c r="M1001" s="354"/>
      <c r="N1001" s="28"/>
      <c r="O1001" s="37"/>
      <c r="P1001" s="31"/>
      <c r="Q1001" s="341"/>
      <c r="R1001" s="269"/>
    </row>
    <row r="1002" spans="1:18" s="51" customFormat="1" ht="15" customHeight="1" x14ac:dyDescent="0.2">
      <c r="A1002" s="269"/>
      <c r="B1002" s="192"/>
      <c r="C1002" s="176">
        <f>SUM(C998:C1000)</f>
        <v>0</v>
      </c>
      <c r="D1002" s="139"/>
      <c r="E1002" s="102"/>
      <c r="F1002" s="532" t="s">
        <v>45</v>
      </c>
      <c r="G1002" s="533"/>
      <c r="H1002" s="332">
        <f>SUM(H999:H1001)</f>
        <v>437840</v>
      </c>
      <c r="I1002" s="328">
        <f>SUM(I999:I1001)</f>
        <v>91946.4</v>
      </c>
      <c r="J1002" s="328">
        <f>SUM(J999:J1001)</f>
        <v>529786.4</v>
      </c>
      <c r="K1002" s="282"/>
      <c r="L1002" s="281"/>
      <c r="M1002" s="329">
        <f>SUM(M998:M1000)</f>
        <v>0</v>
      </c>
      <c r="N1002" s="330">
        <f>SUM(N999:N1001)</f>
        <v>0</v>
      </c>
      <c r="O1002" s="331">
        <f>SUM(O998:O1000)</f>
        <v>0</v>
      </c>
      <c r="P1002" s="333">
        <f>SUM(M1002:O1002)</f>
        <v>0</v>
      </c>
      <c r="Q1002" s="193"/>
      <c r="R1002" s="273"/>
    </row>
    <row r="1003" spans="1:18" s="49" customFormat="1" ht="30" customHeight="1" x14ac:dyDescent="0.2">
      <c r="A1003" s="269"/>
      <c r="B1003" s="184"/>
      <c r="C1003" s="65"/>
      <c r="D1003" s="6"/>
      <c r="E1003" s="7"/>
      <c r="F1003" s="8"/>
      <c r="G1003" s="8"/>
      <c r="H1003" s="9"/>
      <c r="I1003" s="50"/>
      <c r="J1003" s="50"/>
      <c r="K1003" s="185"/>
      <c r="L1003" s="184"/>
      <c r="M1003" s="54"/>
      <c r="N1003" s="54"/>
      <c r="O1003" s="54"/>
      <c r="P1003" s="55"/>
      <c r="Q1003" s="185"/>
      <c r="R1003" s="269"/>
    </row>
    <row r="1004" spans="1:18" s="51" customFormat="1" ht="15" customHeight="1" x14ac:dyDescent="0.2">
      <c r="A1004" s="424"/>
      <c r="B1004" s="196"/>
      <c r="C1004" s="295">
        <v>25</v>
      </c>
      <c r="D1004" s="300" t="s">
        <v>265</v>
      </c>
      <c r="E1004" s="425" t="s">
        <v>74</v>
      </c>
      <c r="F1004" s="426" t="s">
        <v>38</v>
      </c>
      <c r="G1004" s="427" t="s">
        <v>39</v>
      </c>
      <c r="H1004" s="321" t="s">
        <v>52</v>
      </c>
      <c r="I1004" s="428" t="s">
        <v>55</v>
      </c>
      <c r="J1004" s="428" t="s">
        <v>130</v>
      </c>
      <c r="K1004" s="197"/>
      <c r="L1004" s="196"/>
      <c r="M1004" s="429" t="s">
        <v>88</v>
      </c>
      <c r="N1004" s="429" t="s">
        <v>25</v>
      </c>
      <c r="O1004" s="429" t="s">
        <v>54</v>
      </c>
      <c r="P1004" s="322" t="s">
        <v>52</v>
      </c>
      <c r="Q1004" s="197"/>
      <c r="R1004" s="419"/>
    </row>
    <row r="1005" spans="1:18" ht="15" customHeight="1" x14ac:dyDescent="0.2">
      <c r="A1005" s="424"/>
      <c r="B1005" s="340"/>
      <c r="C1005" s="13">
        <v>1</v>
      </c>
      <c r="D1005" s="430" t="s">
        <v>266</v>
      </c>
      <c r="E1005" s="90" t="s">
        <v>201</v>
      </c>
      <c r="F1005" s="28">
        <v>150000</v>
      </c>
      <c r="G1005" s="28">
        <v>1</v>
      </c>
      <c r="H1005" s="28">
        <f>G1005*F1005</f>
        <v>150000</v>
      </c>
      <c r="I1005" s="93">
        <f>+H1005*21%</f>
        <v>31500</v>
      </c>
      <c r="J1005" s="93">
        <f>H1005</f>
        <v>150000</v>
      </c>
      <c r="K1005" s="341"/>
      <c r="L1005" s="340"/>
      <c r="M1005" s="28"/>
      <c r="N1005" s="28"/>
      <c r="O1005" s="28"/>
      <c r="P1005" s="31"/>
      <c r="Q1005" s="341"/>
      <c r="R1005" s="424"/>
    </row>
    <row r="1006" spans="1:18" s="51" customFormat="1" ht="15" customHeight="1" x14ac:dyDescent="0.2">
      <c r="A1006" s="424"/>
      <c r="B1006" s="412"/>
      <c r="C1006" s="140">
        <f>SUM(C1005:C1005)</f>
        <v>1</v>
      </c>
      <c r="D1006" s="139"/>
      <c r="E1006" s="102"/>
      <c r="F1006" s="532" t="s">
        <v>46</v>
      </c>
      <c r="G1006" s="533"/>
      <c r="H1006" s="372">
        <f>SUM(H1005:H1005)</f>
        <v>150000</v>
      </c>
      <c r="I1006" s="431">
        <f>SUM(I1005:I1005)</f>
        <v>31500</v>
      </c>
      <c r="J1006" s="431">
        <f>SUM(J1005:J1005)</f>
        <v>150000</v>
      </c>
      <c r="K1006" s="413"/>
      <c r="L1006" s="412"/>
      <c r="M1006" s="421">
        <f>SUM(M1005:M1005)</f>
        <v>0</v>
      </c>
      <c r="N1006" s="422"/>
      <c r="O1006" s="423">
        <f>SUM(O1005:O1005)</f>
        <v>0</v>
      </c>
      <c r="P1006" s="333">
        <f>SUM(M1006:O1006)</f>
        <v>0</v>
      </c>
      <c r="Q1006" s="413"/>
      <c r="R1006" s="419"/>
    </row>
    <row r="1007" spans="1:18" s="51" customFormat="1" ht="24" customHeight="1" x14ac:dyDescent="0.2">
      <c r="A1007" s="424"/>
      <c r="B1007" s="432"/>
      <c r="C1007" s="434"/>
      <c r="D1007" s="139"/>
      <c r="E1007" s="102"/>
      <c r="F1007" s="435"/>
      <c r="G1007" s="435"/>
      <c r="H1007" s="436"/>
      <c r="I1007" s="436"/>
      <c r="J1007" s="436"/>
      <c r="K1007" s="433"/>
      <c r="L1007" s="432"/>
      <c r="M1007" s="421"/>
      <c r="N1007" s="422"/>
      <c r="O1007" s="423"/>
      <c r="P1007" s="333"/>
      <c r="Q1007" s="433"/>
      <c r="R1007" s="419"/>
    </row>
    <row r="1008" spans="1:18" s="51" customFormat="1" ht="15" customHeight="1" x14ac:dyDescent="0.2">
      <c r="A1008" s="269"/>
      <c r="B1008" s="196"/>
      <c r="C1008" s="295">
        <v>26</v>
      </c>
      <c r="D1008" s="300" t="s">
        <v>26</v>
      </c>
      <c r="E1008" s="323" t="s">
        <v>74</v>
      </c>
      <c r="F1008" s="324" t="s">
        <v>38</v>
      </c>
      <c r="G1008" s="325" t="s">
        <v>39</v>
      </c>
      <c r="H1008" s="321" t="s">
        <v>52</v>
      </c>
      <c r="I1008" s="326" t="s">
        <v>55</v>
      </c>
      <c r="J1008" s="326" t="s">
        <v>130</v>
      </c>
      <c r="K1008" s="197"/>
      <c r="L1008" s="196"/>
      <c r="M1008" s="327" t="s">
        <v>88</v>
      </c>
      <c r="N1008" s="327" t="s">
        <v>25</v>
      </c>
      <c r="O1008" s="327" t="s">
        <v>54</v>
      </c>
      <c r="P1008" s="322" t="s">
        <v>52</v>
      </c>
      <c r="Q1008" s="197"/>
      <c r="R1008" s="273"/>
    </row>
    <row r="1009" spans="1:18" ht="15" customHeight="1" x14ac:dyDescent="0.2">
      <c r="A1009" s="269"/>
      <c r="B1009" s="190"/>
      <c r="C1009" s="13">
        <v>1</v>
      </c>
      <c r="D1009" s="258" t="s">
        <v>330</v>
      </c>
      <c r="E1009" s="90" t="s">
        <v>186</v>
      </c>
      <c r="F1009" s="28">
        <v>1800</v>
      </c>
      <c r="G1009" s="28">
        <v>75</v>
      </c>
      <c r="H1009" s="28">
        <f>G1009*F1009</f>
        <v>135000</v>
      </c>
      <c r="I1009" s="93">
        <v>0</v>
      </c>
      <c r="J1009" s="93">
        <f>H1009</f>
        <v>135000</v>
      </c>
      <c r="K1009" s="191"/>
      <c r="L1009" s="190"/>
      <c r="M1009" s="28"/>
      <c r="N1009" s="28"/>
      <c r="O1009" s="28"/>
      <c r="P1009" s="31"/>
      <c r="Q1009" s="191"/>
      <c r="R1009" s="269"/>
    </row>
    <row r="1010" spans="1:18" s="51" customFormat="1" ht="15" customHeight="1" x14ac:dyDescent="0.2">
      <c r="A1010" s="269"/>
      <c r="B1010" s="346"/>
      <c r="C1010" s="382">
        <f>SUM(C1009:C1009)</f>
        <v>1</v>
      </c>
      <c r="D1010" s="139"/>
      <c r="E1010" s="102"/>
      <c r="F1010" s="532" t="s">
        <v>240</v>
      </c>
      <c r="G1010" s="533"/>
      <c r="H1010" s="372">
        <f>SUM(H1009:H1009)</f>
        <v>135000</v>
      </c>
      <c r="I1010" s="373">
        <f>SUM(I1009:I1009)</f>
        <v>0</v>
      </c>
      <c r="J1010" s="373">
        <f>SUM(J1009:J1009)</f>
        <v>135000</v>
      </c>
      <c r="K1010" s="348"/>
      <c r="L1010" s="346"/>
      <c r="M1010" s="329">
        <f>SUM(M1009:M1009)</f>
        <v>0</v>
      </c>
      <c r="N1010" s="330"/>
      <c r="O1010" s="331">
        <f>SUM(O1009:O1009)</f>
        <v>0</v>
      </c>
      <c r="P1010" s="333">
        <f>SUM(M1010:O1010)</f>
        <v>0</v>
      </c>
      <c r="Q1010" s="348"/>
      <c r="R1010" s="273"/>
    </row>
    <row r="1011" spans="1:18" s="383" customFormat="1" ht="15" customHeight="1" x14ac:dyDescent="0.2">
      <c r="A1011" s="388"/>
      <c r="B1011" s="384"/>
      <c r="C1011" s="385"/>
      <c r="D1011" s="377"/>
      <c r="E1011" s="378"/>
      <c r="F1011" s="374"/>
      <c r="G1011" s="374"/>
      <c r="H1011" s="379"/>
      <c r="I1011" s="379"/>
      <c r="J1011" s="379"/>
      <c r="K1011" s="380"/>
      <c r="L1011" s="384"/>
      <c r="M1011" s="381"/>
      <c r="N1011" s="381"/>
      <c r="O1011" s="381"/>
      <c r="P1011" s="381"/>
      <c r="Q1011" s="384"/>
    </row>
    <row r="1012" spans="1:18" s="51" customFormat="1" ht="15" customHeight="1" x14ac:dyDescent="0.2">
      <c r="A1012" s="269"/>
      <c r="B1012" s="196"/>
      <c r="C1012" s="295">
        <v>27</v>
      </c>
      <c r="D1012" s="300" t="s">
        <v>236</v>
      </c>
      <c r="E1012" s="323" t="s">
        <v>74</v>
      </c>
      <c r="F1012" s="324" t="s">
        <v>38</v>
      </c>
      <c r="G1012" s="335" t="s">
        <v>39</v>
      </c>
      <c r="H1012" s="321" t="s">
        <v>52</v>
      </c>
      <c r="I1012" s="326" t="s">
        <v>55</v>
      </c>
      <c r="J1012" s="326" t="s">
        <v>130</v>
      </c>
      <c r="K1012" s="197"/>
      <c r="L1012" s="196"/>
      <c r="M1012" s="327" t="s">
        <v>88</v>
      </c>
      <c r="N1012" s="327" t="s">
        <v>25</v>
      </c>
      <c r="O1012" s="327" t="s">
        <v>54</v>
      </c>
      <c r="P1012" s="322" t="s">
        <v>52</v>
      </c>
      <c r="Q1012" s="197"/>
      <c r="R1012" s="273"/>
    </row>
    <row r="1013" spans="1:18" ht="15" customHeight="1" x14ac:dyDescent="0.2">
      <c r="A1013" s="269"/>
      <c r="B1013" s="190"/>
      <c r="C1013" s="13"/>
      <c r="D1013" s="258" t="s">
        <v>237</v>
      </c>
      <c r="E1013" s="394">
        <v>1.2E-2</v>
      </c>
      <c r="F1013" s="28">
        <f>SUM(J78+J84+J89+J737+J768+J775+J791+J800+J807+J814+J837+J842+J848+J855+J862+J869+J893+J930+J935+J965+J974+J980+J995+J1002+J1006+J1010+J1019)</f>
        <v>111822290.75663096</v>
      </c>
      <c r="G1013" s="28">
        <v>1</v>
      </c>
      <c r="H1013" s="28">
        <f>+G1013*F1013*E1013</f>
        <v>1341867.4890795716</v>
      </c>
      <c r="I1013" s="93">
        <v>0</v>
      </c>
      <c r="J1013" s="28">
        <f>SUM(H1013+I1013)</f>
        <v>1341867.4890795716</v>
      </c>
      <c r="K1013" s="191"/>
      <c r="L1013" s="190"/>
      <c r="M1013" s="28"/>
      <c r="N1013" s="28">
        <f>H1013</f>
        <v>1341867.4890795716</v>
      </c>
      <c r="O1013" s="28"/>
      <c r="P1013" s="25"/>
      <c r="Q1013" s="191"/>
      <c r="R1013" s="269"/>
    </row>
    <row r="1014" spans="1:18" ht="15" customHeight="1" x14ac:dyDescent="0.2">
      <c r="A1014" s="269"/>
      <c r="B1014" s="340"/>
      <c r="C1014" s="13"/>
      <c r="D1014" s="258" t="s">
        <v>238</v>
      </c>
      <c r="E1014" s="394">
        <v>0.05</v>
      </c>
      <c r="F1014" s="28">
        <f>SUM(J78+J84+J89+J737+J768+J775+J791+J800+J807+J814+J837+J842+J848+J855+J862+J869+J893+J930+J935+J965+J974+J980+J995+J1002+J1006+J1010+J1019)</f>
        <v>111822290.75663096</v>
      </c>
      <c r="G1014" s="28">
        <v>1</v>
      </c>
      <c r="H1014" s="28">
        <f>+G1014*F1014*E1014</f>
        <v>5591114.5378315486</v>
      </c>
      <c r="I1014" s="93">
        <v>0</v>
      </c>
      <c r="J1014" s="93">
        <f>SUM(H1014+I1014)</f>
        <v>5591114.5378315486</v>
      </c>
      <c r="K1014" s="341"/>
      <c r="L1014" s="340"/>
      <c r="M1014" s="28"/>
      <c r="N1014" s="28">
        <f>+H1014</f>
        <v>5591114.5378315486</v>
      </c>
      <c r="O1014" s="28"/>
      <c r="P1014" s="25"/>
      <c r="Q1014" s="341"/>
      <c r="R1014" s="269"/>
    </row>
    <row r="1015" spans="1:18" ht="15" customHeight="1" x14ac:dyDescent="0.2">
      <c r="A1015" s="269"/>
      <c r="B1015" s="190"/>
      <c r="C1015" s="13"/>
      <c r="D1015" s="258" t="s">
        <v>241</v>
      </c>
      <c r="E1015" s="394">
        <v>0.21</v>
      </c>
      <c r="F1015" s="28"/>
      <c r="G1015" s="28"/>
      <c r="H1015" s="28"/>
      <c r="I1015" s="93">
        <v>0</v>
      </c>
      <c r="J1015" s="93">
        <f>H1015</f>
        <v>0</v>
      </c>
      <c r="K1015" s="191"/>
      <c r="L1015" s="190"/>
      <c r="M1015" s="28"/>
      <c r="N1015" s="28">
        <f>SUM(N1013:N1014)</f>
        <v>6932982.0269111199</v>
      </c>
      <c r="O1015" s="28"/>
      <c r="P1015" s="25"/>
      <c r="Q1015" s="191"/>
      <c r="R1015" s="269"/>
    </row>
    <row r="1016" spans="1:18" ht="15" customHeight="1" x14ac:dyDescent="0.2">
      <c r="A1016" s="269"/>
      <c r="B1016" s="340"/>
      <c r="C1016" s="13"/>
      <c r="D1016" s="355"/>
      <c r="E1016" s="356"/>
      <c r="F1016" s="532" t="s">
        <v>321</v>
      </c>
      <c r="G1016" s="533"/>
      <c r="H1016" s="372">
        <f>SUM(H1013:H1015)</f>
        <v>6932982.0269111199</v>
      </c>
      <c r="I1016" s="373">
        <f>SUM(I1015:I1015)</f>
        <v>0</v>
      </c>
      <c r="J1016" s="373">
        <f>SUM(J1013+J1014)</f>
        <v>6932982.0269111199</v>
      </c>
      <c r="K1016" s="341"/>
      <c r="L1016" s="340"/>
      <c r="M1016" s="34"/>
      <c r="N1016" s="34"/>
      <c r="O1016" s="34"/>
      <c r="P1016" s="386"/>
      <c r="Q1016" s="341"/>
      <c r="R1016" s="269"/>
    </row>
    <row r="1017" spans="1:18" s="383" customFormat="1" ht="15" customHeight="1" x14ac:dyDescent="0.2">
      <c r="A1017" s="388"/>
      <c r="B1017" s="389"/>
      <c r="C1017" s="390"/>
      <c r="D1017" s="391"/>
      <c r="E1017" s="392"/>
      <c r="F1017" s="283"/>
      <c r="G1017" s="283"/>
      <c r="H1017" s="284"/>
      <c r="I1017" s="284"/>
      <c r="J1017" s="284"/>
      <c r="K1017" s="380"/>
      <c r="L1017" s="384"/>
      <c r="M1017" s="286"/>
      <c r="N1017" s="286"/>
      <c r="O1017" s="286"/>
      <c r="P1017" s="286"/>
      <c r="Q1017" s="384"/>
    </row>
    <row r="1018" spans="1:18" s="51" customFormat="1" ht="15" customHeight="1" x14ac:dyDescent="0.2">
      <c r="A1018" s="269"/>
      <c r="B1018" s="196"/>
      <c r="C1018" s="295">
        <v>28</v>
      </c>
      <c r="D1018" s="300" t="s">
        <v>232</v>
      </c>
      <c r="E1018" s="323" t="s">
        <v>74</v>
      </c>
      <c r="F1018" s="324" t="s">
        <v>38</v>
      </c>
      <c r="G1018" s="335" t="s">
        <v>39</v>
      </c>
      <c r="H1018" s="321" t="s">
        <v>52</v>
      </c>
      <c r="I1018" s="326" t="s">
        <v>55</v>
      </c>
      <c r="J1018" s="326" t="s">
        <v>130</v>
      </c>
      <c r="K1018" s="197"/>
      <c r="L1018" s="196"/>
      <c r="M1018" s="327" t="s">
        <v>88</v>
      </c>
      <c r="N1018" s="327" t="s">
        <v>25</v>
      </c>
      <c r="O1018" s="327" t="s">
        <v>54</v>
      </c>
      <c r="P1018" s="322" t="s">
        <v>52</v>
      </c>
      <c r="Q1018" s="197"/>
      <c r="R1018" s="273"/>
    </row>
    <row r="1019" spans="1:18" ht="15" customHeight="1" x14ac:dyDescent="0.2">
      <c r="A1019" s="269"/>
      <c r="B1019" s="190"/>
      <c r="C1019" s="13"/>
      <c r="D1019" s="258" t="s">
        <v>239</v>
      </c>
      <c r="E1019" s="387">
        <v>0.03</v>
      </c>
      <c r="F1019" s="28">
        <f>SUM(J78+J84+J89+J737+J768+J775+J791+J800+J807+J814+J837+J842+J848+J855+J862+J869+J893+J930+J935+J965+J974+J980+J995+J1002+J1006+J1010)</f>
        <v>108565330.83168054</v>
      </c>
      <c r="G1019" s="28">
        <v>1</v>
      </c>
      <c r="H1019" s="28">
        <f>+G1019*F1019*E1019</f>
        <v>3256959.9249504162</v>
      </c>
      <c r="I1019" s="93"/>
      <c r="J1019" s="93">
        <f>+H1019</f>
        <v>3256959.9249504162</v>
      </c>
      <c r="K1019" s="191"/>
      <c r="L1019" s="190"/>
      <c r="M1019" s="28"/>
      <c r="N1019" s="28">
        <f>H1019</f>
        <v>3256959.9249504162</v>
      </c>
      <c r="O1019" s="28"/>
      <c r="P1019" s="25"/>
      <c r="Q1019" s="191"/>
      <c r="R1019" s="269"/>
    </row>
    <row r="1020" spans="1:18" ht="15.95" customHeight="1" thickBot="1" x14ac:dyDescent="0.25">
      <c r="A1020" s="269"/>
      <c r="B1020" s="206"/>
      <c r="C1020" s="207"/>
      <c r="D1020" s="208"/>
      <c r="E1020" s="209"/>
      <c r="F1020" s="208"/>
      <c r="G1020" s="208"/>
      <c r="H1020" s="393" t="s">
        <v>35</v>
      </c>
      <c r="I1020" s="210"/>
      <c r="J1020" s="210"/>
      <c r="K1020" s="211"/>
      <c r="L1020" s="206"/>
      <c r="M1020" s="213"/>
      <c r="N1020" s="213"/>
      <c r="O1020" s="213"/>
      <c r="P1020" s="213"/>
      <c r="Q1020" s="211"/>
      <c r="R1020" s="269"/>
    </row>
    <row r="1021" spans="1:18" ht="13.5" thickTop="1" x14ac:dyDescent="0.2"/>
  </sheetData>
  <sheetProtection selectLockedCells="1" selectUnlockedCells="1"/>
  <mergeCells count="37">
    <mergeCell ref="F1016:G1016"/>
    <mergeCell ref="F980:G980"/>
    <mergeCell ref="F965:G965"/>
    <mergeCell ref="F862:G862"/>
    <mergeCell ref="F1006:G1006"/>
    <mergeCell ref="F935:G935"/>
    <mergeCell ref="F869:G869"/>
    <mergeCell ref="F893:G893"/>
    <mergeCell ref="C3:C5"/>
    <mergeCell ref="M69:P69"/>
    <mergeCell ref="F1010:G1010"/>
    <mergeCell ref="F1002:G1002"/>
    <mergeCell ref="F768:G768"/>
    <mergeCell ref="F775:G775"/>
    <mergeCell ref="F974:G974"/>
    <mergeCell ref="F930:G930"/>
    <mergeCell ref="F995:G995"/>
    <mergeCell ref="F848:G848"/>
    <mergeCell ref="D874:D876"/>
    <mergeCell ref="D902:D904"/>
    <mergeCell ref="F735:G735"/>
    <mergeCell ref="F737:G737"/>
    <mergeCell ref="F855:G855"/>
    <mergeCell ref="F842:G842"/>
    <mergeCell ref="D3:D5"/>
    <mergeCell ref="M3:P5"/>
    <mergeCell ref="F84:G84"/>
    <mergeCell ref="F89:G89"/>
    <mergeCell ref="F837:G837"/>
    <mergeCell ref="F720:G720"/>
    <mergeCell ref="F791:G791"/>
    <mergeCell ref="F814:G814"/>
    <mergeCell ref="F64:G64"/>
    <mergeCell ref="F78:G78"/>
    <mergeCell ref="F800:G800"/>
    <mergeCell ref="F807:G807"/>
    <mergeCell ref="F66:G66"/>
  </mergeCells>
  <phoneticPr fontId="8"/>
  <pageMargins left="0.98" right="0" top="0.39314960629921264" bottom="0.39314960629921264" header="0" footer="0"/>
  <pageSetup paperSize="9" scale="60" fitToHeight="17" orientation="landscape" horizontalDpi="4294967292" verticalDpi="4294967292"/>
  <rowBreaks count="1" manualBreakCount="1">
    <brk id="14" min="1" max="256" man="1"/>
  </rowBreaks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1"/>
  <sheetViews>
    <sheetView topLeftCell="A2" workbookViewId="0">
      <selection activeCell="B5" sqref="B5"/>
    </sheetView>
  </sheetViews>
  <sheetFormatPr baseColWidth="10" defaultRowHeight="12.75" x14ac:dyDescent="0.2"/>
  <sheetData>
    <row r="21" spans="2:2" x14ac:dyDescent="0.2">
      <c r="B21">
        <v>1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PRESUPUESTO DAC 2019</vt:lpstr>
      <vt:lpstr>Hoja1</vt:lpstr>
    </vt:vector>
  </TitlesOfParts>
  <Company>Gustavo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Natacha</dc:creator>
  <cp:lastModifiedBy>Usuario</cp:lastModifiedBy>
  <cp:lastPrinted>2014-05-16T14:56:31Z</cp:lastPrinted>
  <dcterms:created xsi:type="dcterms:W3CDTF">2001-08-21T19:51:46Z</dcterms:created>
  <dcterms:modified xsi:type="dcterms:W3CDTF">2019-03-05T21:30:33Z</dcterms:modified>
</cp:coreProperties>
</file>