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autoCompressPictures="0"/>
  <bookViews>
    <workbookView xWindow="-120" yWindow="-120" windowWidth="20640" windowHeight="11160"/>
  </bookViews>
  <sheets>
    <sheet name="PRESUPUESTO DAC 2019" sheetId="1" r:id="rId1"/>
    <sheet name="TABLAS SAT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0" i="1" l="1"/>
  <c r="I535" i="1"/>
  <c r="I587" i="1"/>
  <c r="I16" i="1" s="1"/>
  <c r="I594" i="1"/>
  <c r="I18" i="1" s="1"/>
  <c r="I668" i="1"/>
  <c r="I32" i="1" s="1"/>
  <c r="J816" i="1"/>
  <c r="I817" i="1"/>
  <c r="I58" i="1" s="1"/>
  <c r="I821" i="1"/>
  <c r="I60" i="1" s="1"/>
  <c r="G542" i="1"/>
  <c r="I14" i="1" l="1"/>
  <c r="I549" i="1"/>
  <c r="H785" i="1"/>
  <c r="H786" i="1"/>
  <c r="H787" i="1"/>
  <c r="H788" i="1"/>
  <c r="H790" i="1"/>
  <c r="J790" i="1" s="1"/>
  <c r="H791" i="1"/>
  <c r="J791" i="1" s="1"/>
  <c r="H792" i="1"/>
  <c r="H794" i="1"/>
  <c r="H795" i="1"/>
  <c r="H806" i="1"/>
  <c r="H807" i="1" s="1"/>
  <c r="H54" i="1" s="1"/>
  <c r="H810" i="1"/>
  <c r="H811" i="1" s="1"/>
  <c r="H56" i="1" s="1"/>
  <c r="H699" i="1"/>
  <c r="H707" i="1"/>
  <c r="H75" i="1"/>
  <c r="H78" i="1"/>
  <c r="H83" i="1"/>
  <c r="H74" i="1"/>
  <c r="J74" i="1" s="1"/>
  <c r="H76" i="1"/>
  <c r="J76" i="1" s="1"/>
  <c r="H77" i="1"/>
  <c r="J77" i="1" s="1"/>
  <c r="H79" i="1"/>
  <c r="J79" i="1" s="1"/>
  <c r="E7" i="2"/>
  <c r="G547" i="1"/>
  <c r="F105" i="1"/>
  <c r="G101" i="1" s="1"/>
  <c r="F116" i="1"/>
  <c r="F127" i="1"/>
  <c r="G123" i="1" s="1"/>
  <c r="F138" i="1"/>
  <c r="G134" i="1" s="1"/>
  <c r="F152" i="1"/>
  <c r="G148" i="1" s="1"/>
  <c r="F163" i="1"/>
  <c r="G159" i="1" s="1"/>
  <c r="F174" i="1"/>
  <c r="G170" i="1" s="1"/>
  <c r="F185" i="1"/>
  <c r="G181" i="1" s="1"/>
  <c r="H181" i="1" s="1"/>
  <c r="F196" i="1"/>
  <c r="G192" i="1" s="1"/>
  <c r="F207" i="1"/>
  <c r="G203" i="1" s="1"/>
  <c r="F218" i="1"/>
  <c r="G214" i="1" s="1"/>
  <c r="F229" i="1"/>
  <c r="G225" i="1" s="1"/>
  <c r="F240" i="1"/>
  <c r="G236" i="1" s="1"/>
  <c r="F251" i="1"/>
  <c r="G247" i="1" s="1"/>
  <c r="F262" i="1"/>
  <c r="G258" i="1" s="1"/>
  <c r="F273" i="1"/>
  <c r="G269" i="1" s="1"/>
  <c r="H269" i="1" s="1"/>
  <c r="F284" i="1"/>
  <c r="G280" i="1" s="1"/>
  <c r="F295" i="1"/>
  <c r="G291" i="1" s="1"/>
  <c r="F306" i="1"/>
  <c r="G302" i="1" s="1"/>
  <c r="F317" i="1"/>
  <c r="G313" i="1" s="1"/>
  <c r="H313" i="1" s="1"/>
  <c r="F328" i="1"/>
  <c r="G324" i="1" s="1"/>
  <c r="F350" i="1"/>
  <c r="G346" i="1" s="1"/>
  <c r="F361" i="1"/>
  <c r="G357" i="1" s="1"/>
  <c r="F372" i="1"/>
  <c r="G368" i="1" s="1"/>
  <c r="F383" i="1"/>
  <c r="G379" i="1" s="1"/>
  <c r="F394" i="1"/>
  <c r="G390" i="1" s="1"/>
  <c r="F405" i="1"/>
  <c r="F416" i="1"/>
  <c r="G412" i="1" s="1"/>
  <c r="H412" i="1" s="1"/>
  <c r="F427" i="1"/>
  <c r="G423" i="1" s="1"/>
  <c r="F438" i="1"/>
  <c r="G434" i="1" s="1"/>
  <c r="F449" i="1"/>
  <c r="F460" i="1"/>
  <c r="G456" i="1" s="1"/>
  <c r="F471" i="1"/>
  <c r="G467" i="1" s="1"/>
  <c r="F485" i="1"/>
  <c r="G481" i="1" s="1"/>
  <c r="F496" i="1"/>
  <c r="G492" i="1" s="1"/>
  <c r="F507" i="1"/>
  <c r="G503" i="1" s="1"/>
  <c r="H776" i="1"/>
  <c r="H779" i="1"/>
  <c r="J779" i="1" s="1"/>
  <c r="H780" i="1"/>
  <c r="H547" i="1"/>
  <c r="C475" i="1"/>
  <c r="H542" i="1" s="1"/>
  <c r="C535" i="1"/>
  <c r="C142" i="1"/>
  <c r="C510" i="1"/>
  <c r="E4" i="2"/>
  <c r="F4" i="2"/>
  <c r="G4" i="2"/>
  <c r="H99" i="1"/>
  <c r="H100" i="1"/>
  <c r="I4" i="2"/>
  <c r="E101" i="1"/>
  <c r="G102" i="1"/>
  <c r="H102" i="1" s="1"/>
  <c r="G103" i="1"/>
  <c r="H103" i="1" s="1"/>
  <c r="H104" i="1"/>
  <c r="E6" i="2"/>
  <c r="H110" i="1"/>
  <c r="H111" i="1"/>
  <c r="E112" i="1"/>
  <c r="G113" i="1"/>
  <c r="H113" i="1" s="1"/>
  <c r="G114" i="1"/>
  <c r="H114" i="1" s="1"/>
  <c r="H115" i="1"/>
  <c r="E9" i="2"/>
  <c r="F9" i="2"/>
  <c r="G9" i="2"/>
  <c r="H121" i="1"/>
  <c r="H122" i="1"/>
  <c r="I9" i="2"/>
  <c r="E123" i="1"/>
  <c r="G124" i="1"/>
  <c r="H124" i="1" s="1"/>
  <c r="G125" i="1"/>
  <c r="H125" i="1" s="1"/>
  <c r="H126" i="1"/>
  <c r="H132" i="1"/>
  <c r="H133" i="1"/>
  <c r="E134" i="1"/>
  <c r="G135" i="1"/>
  <c r="H135" i="1" s="1"/>
  <c r="F135" i="1"/>
  <c r="G136" i="1"/>
  <c r="H136" i="1" s="1"/>
  <c r="F136" i="1"/>
  <c r="F137" i="1"/>
  <c r="H137" i="1"/>
  <c r="H146" i="1"/>
  <c r="H147" i="1"/>
  <c r="E148" i="1"/>
  <c r="G149" i="1"/>
  <c r="H149" i="1" s="1"/>
  <c r="G150" i="1"/>
  <c r="H150" i="1" s="1"/>
  <c r="F151" i="1"/>
  <c r="H151" i="1" s="1"/>
  <c r="H157" i="1"/>
  <c r="H158" i="1"/>
  <c r="E159" i="1"/>
  <c r="G160" i="1"/>
  <c r="H160" i="1" s="1"/>
  <c r="G161" i="1"/>
  <c r="H161" i="1"/>
  <c r="F162" i="1"/>
  <c r="H162" i="1" s="1"/>
  <c r="E5" i="2"/>
  <c r="I5" i="2" s="1"/>
  <c r="F5" i="2"/>
  <c r="G5" i="2" s="1"/>
  <c r="H168" i="1"/>
  <c r="H169" i="1"/>
  <c r="E170" i="1"/>
  <c r="G171" i="1"/>
  <c r="H171" i="1" s="1"/>
  <c r="G172" i="1"/>
  <c r="H172" i="1" s="1"/>
  <c r="F173" i="1"/>
  <c r="H173" i="1" s="1"/>
  <c r="H179" i="1"/>
  <c r="H180" i="1"/>
  <c r="E181" i="1"/>
  <c r="G182" i="1"/>
  <c r="H182" i="1" s="1"/>
  <c r="G183" i="1"/>
  <c r="H183" i="1" s="1"/>
  <c r="F184" i="1"/>
  <c r="H184" i="1" s="1"/>
  <c r="H190" i="1"/>
  <c r="H191" i="1"/>
  <c r="E192" i="1"/>
  <c r="G193" i="1"/>
  <c r="F193" i="1"/>
  <c r="G194" i="1"/>
  <c r="F194" i="1"/>
  <c r="F195" i="1"/>
  <c r="H195" i="1" s="1"/>
  <c r="E8" i="2"/>
  <c r="F8" i="2"/>
  <c r="G8" i="2"/>
  <c r="H201" i="1"/>
  <c r="H202" i="1"/>
  <c r="I8" i="2"/>
  <c r="E203" i="1"/>
  <c r="G204" i="1"/>
  <c r="F204" i="1"/>
  <c r="G205" i="1"/>
  <c r="H205" i="1" s="1"/>
  <c r="F205" i="1"/>
  <c r="F206" i="1"/>
  <c r="H206" i="1"/>
  <c r="H212" i="1"/>
  <c r="H213" i="1"/>
  <c r="E214" i="1"/>
  <c r="G215" i="1"/>
  <c r="H215" i="1" s="1"/>
  <c r="G216" i="1"/>
  <c r="H216" i="1" s="1"/>
  <c r="F217" i="1"/>
  <c r="H217" i="1" s="1"/>
  <c r="H223" i="1"/>
  <c r="H224" i="1"/>
  <c r="E225" i="1"/>
  <c r="G226" i="1"/>
  <c r="H226" i="1" s="1"/>
  <c r="G227" i="1"/>
  <c r="H227" i="1" s="1"/>
  <c r="F228" i="1"/>
  <c r="H228" i="1"/>
  <c r="H234" i="1"/>
  <c r="H235" i="1"/>
  <c r="E236" i="1"/>
  <c r="G237" i="1"/>
  <c r="H237" i="1" s="1"/>
  <c r="G238" i="1"/>
  <c r="H238" i="1" s="1"/>
  <c r="F239" i="1"/>
  <c r="H239" i="1"/>
  <c r="H245" i="1"/>
  <c r="H246" i="1"/>
  <c r="E247" i="1"/>
  <c r="G248" i="1"/>
  <c r="H248" i="1" s="1"/>
  <c r="G249" i="1"/>
  <c r="H249" i="1" s="1"/>
  <c r="F250" i="1"/>
  <c r="H250" i="1" s="1"/>
  <c r="E11" i="2"/>
  <c r="I11" i="2" s="1"/>
  <c r="F11" i="2"/>
  <c r="G11" i="2" s="1"/>
  <c r="H256" i="1"/>
  <c r="H257" i="1"/>
  <c r="E258" i="1"/>
  <c r="G259" i="1"/>
  <c r="H259" i="1" s="1"/>
  <c r="G260" i="1"/>
  <c r="H260" i="1" s="1"/>
  <c r="F261" i="1"/>
  <c r="H261" i="1" s="1"/>
  <c r="E10" i="2"/>
  <c r="F10" i="2"/>
  <c r="G10" i="2"/>
  <c r="H267" i="1"/>
  <c r="H268" i="1"/>
  <c r="I10" i="2"/>
  <c r="E269" i="1"/>
  <c r="G270" i="1"/>
  <c r="H270" i="1" s="1"/>
  <c r="G271" i="1"/>
  <c r="H271" i="1" s="1"/>
  <c r="F272" i="1"/>
  <c r="H272" i="1" s="1"/>
  <c r="H278" i="1"/>
  <c r="H279" i="1"/>
  <c r="E280" i="1"/>
  <c r="G281" i="1"/>
  <c r="H281" i="1" s="1"/>
  <c r="G282" i="1"/>
  <c r="H282" i="1" s="1"/>
  <c r="F283" i="1"/>
  <c r="H283" i="1" s="1"/>
  <c r="H289" i="1"/>
  <c r="H290" i="1"/>
  <c r="E291" i="1"/>
  <c r="H291" i="1" s="1"/>
  <c r="G292" i="1"/>
  <c r="H292" i="1" s="1"/>
  <c r="G293" i="1"/>
  <c r="H293" i="1" s="1"/>
  <c r="F294" i="1"/>
  <c r="H294" i="1" s="1"/>
  <c r="H300" i="1"/>
  <c r="H301" i="1"/>
  <c r="E302" i="1"/>
  <c r="G303" i="1"/>
  <c r="F303" i="1"/>
  <c r="G304" i="1"/>
  <c r="F304" i="1"/>
  <c r="F305" i="1"/>
  <c r="H305" i="1" s="1"/>
  <c r="H311" i="1"/>
  <c r="H312" i="1"/>
  <c r="E313" i="1"/>
  <c r="G314" i="1"/>
  <c r="H314" i="1" s="1"/>
  <c r="G315" i="1"/>
  <c r="H315" i="1" s="1"/>
  <c r="F316" i="1"/>
  <c r="H316" i="1" s="1"/>
  <c r="H322" i="1"/>
  <c r="H323" i="1"/>
  <c r="E324" i="1"/>
  <c r="G325" i="1"/>
  <c r="H325" i="1" s="1"/>
  <c r="G326" i="1"/>
  <c r="H326" i="1"/>
  <c r="F327" i="1"/>
  <c r="H327" i="1" s="1"/>
  <c r="H333" i="1"/>
  <c r="H334" i="1"/>
  <c r="G335" i="1"/>
  <c r="E335" i="1"/>
  <c r="G336" i="1"/>
  <c r="H336" i="1" s="1"/>
  <c r="G337" i="1"/>
  <c r="H337" i="1" s="1"/>
  <c r="H338" i="1"/>
  <c r="H344" i="1"/>
  <c r="H345" i="1"/>
  <c r="E346" i="1"/>
  <c r="G347" i="1"/>
  <c r="H347" i="1" s="1"/>
  <c r="G348" i="1"/>
  <c r="H348" i="1" s="1"/>
  <c r="H349" i="1"/>
  <c r="H355" i="1"/>
  <c r="H356" i="1"/>
  <c r="E357" i="1"/>
  <c r="G358" i="1"/>
  <c r="H358" i="1" s="1"/>
  <c r="G359" i="1"/>
  <c r="H359" i="1"/>
  <c r="F360" i="1"/>
  <c r="H360" i="1" s="1"/>
  <c r="H366" i="1"/>
  <c r="H367" i="1"/>
  <c r="E368" i="1"/>
  <c r="G369" i="1"/>
  <c r="H369" i="1" s="1"/>
  <c r="G370" i="1"/>
  <c r="H370" i="1" s="1"/>
  <c r="F371" i="1"/>
  <c r="H371" i="1" s="1"/>
  <c r="H377" i="1"/>
  <c r="H378" i="1"/>
  <c r="E379" i="1"/>
  <c r="G380" i="1"/>
  <c r="H380" i="1" s="1"/>
  <c r="G381" i="1"/>
  <c r="H381" i="1" s="1"/>
  <c r="H382" i="1"/>
  <c r="H388" i="1"/>
  <c r="H389" i="1"/>
  <c r="E390" i="1"/>
  <c r="G391" i="1"/>
  <c r="H391" i="1" s="1"/>
  <c r="G392" i="1"/>
  <c r="H392" i="1" s="1"/>
  <c r="H393" i="1"/>
  <c r="H399" i="1"/>
  <c r="H400" i="1"/>
  <c r="G401" i="1"/>
  <c r="E401" i="1"/>
  <c r="G402" i="1"/>
  <c r="H402" i="1" s="1"/>
  <c r="G403" i="1"/>
  <c r="H403" i="1" s="1"/>
  <c r="H404" i="1"/>
  <c r="H410" i="1"/>
  <c r="H411" i="1"/>
  <c r="E412" i="1"/>
  <c r="G413" i="1"/>
  <c r="H413" i="1"/>
  <c r="G414" i="1"/>
  <c r="H414" i="1" s="1"/>
  <c r="F415" i="1"/>
  <c r="H415" i="1"/>
  <c r="H421" i="1"/>
  <c r="H422" i="1"/>
  <c r="E423" i="1"/>
  <c r="G424" i="1"/>
  <c r="H424" i="1"/>
  <c r="G425" i="1"/>
  <c r="H425" i="1" s="1"/>
  <c r="F426" i="1"/>
  <c r="H426" i="1" s="1"/>
  <c r="H432" i="1"/>
  <c r="H433" i="1"/>
  <c r="E434" i="1"/>
  <c r="G435" i="1"/>
  <c r="H435" i="1"/>
  <c r="G436" i="1"/>
  <c r="H436" i="1" s="1"/>
  <c r="F437" i="1"/>
  <c r="H437" i="1" s="1"/>
  <c r="H443" i="1"/>
  <c r="H444" i="1"/>
  <c r="G445" i="1"/>
  <c r="H445" i="1" s="1"/>
  <c r="E445" i="1"/>
  <c r="G446" i="1"/>
  <c r="H446" i="1" s="1"/>
  <c r="G447" i="1"/>
  <c r="H447" i="1" s="1"/>
  <c r="F448" i="1"/>
  <c r="H448" i="1" s="1"/>
  <c r="H454" i="1"/>
  <c r="H455" i="1"/>
  <c r="E456" i="1"/>
  <c r="G457" i="1"/>
  <c r="H457" i="1" s="1"/>
  <c r="G458" i="1"/>
  <c r="H458" i="1" s="1"/>
  <c r="F459" i="1"/>
  <c r="H459" i="1" s="1"/>
  <c r="H465" i="1"/>
  <c r="H466" i="1"/>
  <c r="E467" i="1"/>
  <c r="G468" i="1"/>
  <c r="H468" i="1" s="1"/>
  <c r="G469" i="1"/>
  <c r="H469" i="1" s="1"/>
  <c r="F470" i="1"/>
  <c r="H470" i="1" s="1"/>
  <c r="H479" i="1"/>
  <c r="H480" i="1"/>
  <c r="E481" i="1"/>
  <c r="G482" i="1"/>
  <c r="H482" i="1" s="1"/>
  <c r="G483" i="1"/>
  <c r="H483" i="1" s="1"/>
  <c r="H484" i="1"/>
  <c r="H490" i="1"/>
  <c r="H491" i="1"/>
  <c r="E492" i="1"/>
  <c r="G493" i="1"/>
  <c r="H493" i="1" s="1"/>
  <c r="G494" i="1"/>
  <c r="H494" i="1"/>
  <c r="H495" i="1"/>
  <c r="H501" i="1"/>
  <c r="H502" i="1"/>
  <c r="E503" i="1"/>
  <c r="G504" i="1"/>
  <c r="H504" i="1" s="1"/>
  <c r="G505" i="1"/>
  <c r="H505" i="1" s="1"/>
  <c r="H506" i="1"/>
  <c r="H514" i="1"/>
  <c r="H515" i="1"/>
  <c r="F520" i="1"/>
  <c r="G516" i="1"/>
  <c r="H516" i="1" s="1"/>
  <c r="G517" i="1"/>
  <c r="H517" i="1" s="1"/>
  <c r="G518" i="1"/>
  <c r="H518" i="1" s="1"/>
  <c r="H519" i="1"/>
  <c r="H525" i="1"/>
  <c r="H526" i="1"/>
  <c r="F531" i="1"/>
  <c r="G527" i="1" s="1"/>
  <c r="H527" i="1" s="1"/>
  <c r="G528" i="1"/>
  <c r="H528" i="1"/>
  <c r="G529" i="1"/>
  <c r="H529" i="1" s="1"/>
  <c r="H530" i="1"/>
  <c r="H560" i="1"/>
  <c r="H561" i="1"/>
  <c r="H562" i="1"/>
  <c r="H568" i="1"/>
  <c r="H569" i="1"/>
  <c r="H570" i="1"/>
  <c r="F576" i="1"/>
  <c r="F577" i="1" s="1"/>
  <c r="G577" i="1"/>
  <c r="H555" i="1"/>
  <c r="H556" i="1" s="1"/>
  <c r="H592" i="1"/>
  <c r="J592" i="1" s="1"/>
  <c r="F583" i="1"/>
  <c r="F585" i="1" s="1"/>
  <c r="F584" i="1"/>
  <c r="C580" i="1"/>
  <c r="H582" i="1" s="1"/>
  <c r="H802" i="1"/>
  <c r="H784" i="1"/>
  <c r="H789" i="1"/>
  <c r="H793" i="1"/>
  <c r="H796" i="1"/>
  <c r="J796" i="1" s="1"/>
  <c r="H771" i="1"/>
  <c r="H769" i="1"/>
  <c r="H768" i="1"/>
  <c r="H762" i="1"/>
  <c r="H761" i="1"/>
  <c r="H759" i="1"/>
  <c r="H758" i="1"/>
  <c r="H756" i="1"/>
  <c r="H755" i="1"/>
  <c r="H753" i="1"/>
  <c r="H752" i="1"/>
  <c r="H747" i="1"/>
  <c r="I747" i="1" s="1"/>
  <c r="J747" i="1" s="1"/>
  <c r="H748" i="1"/>
  <c r="I748" i="1" s="1"/>
  <c r="J748" i="1" s="1"/>
  <c r="H749" i="1"/>
  <c r="I749" i="1" s="1"/>
  <c r="J749" i="1" s="1"/>
  <c r="H745" i="1"/>
  <c r="J745" i="1" s="1"/>
  <c r="H744" i="1"/>
  <c r="J744" i="1" s="1"/>
  <c r="H743" i="1"/>
  <c r="I743" i="1" s="1"/>
  <c r="J743" i="1" s="1"/>
  <c r="H742" i="1"/>
  <c r="I742" i="1" s="1"/>
  <c r="J742" i="1" s="1"/>
  <c r="H741" i="1"/>
  <c r="J741" i="1" s="1"/>
  <c r="H740" i="1"/>
  <c r="J740" i="1" s="1"/>
  <c r="H738" i="1"/>
  <c r="H731" i="1"/>
  <c r="H733" i="1"/>
  <c r="H703" i="1"/>
  <c r="H710" i="1"/>
  <c r="H712" i="1"/>
  <c r="H718" i="1"/>
  <c r="H721" i="1"/>
  <c r="H723" i="1"/>
  <c r="H724" i="1"/>
  <c r="H725" i="1"/>
  <c r="H726" i="1"/>
  <c r="H727" i="1"/>
  <c r="H692" i="1"/>
  <c r="H682" i="1"/>
  <c r="H684" i="1"/>
  <c r="H686" i="1"/>
  <c r="H672" i="1"/>
  <c r="H673" i="1"/>
  <c r="H674" i="1"/>
  <c r="H675" i="1"/>
  <c r="H663" i="1"/>
  <c r="J663" i="1" s="1"/>
  <c r="H665" i="1"/>
  <c r="H667" i="1"/>
  <c r="J667" i="1" s="1"/>
  <c r="H658" i="1"/>
  <c r="H659" i="1"/>
  <c r="J659" i="1" s="1"/>
  <c r="H636" i="1"/>
  <c r="H637" i="1"/>
  <c r="J637" i="1" s="1"/>
  <c r="H638" i="1"/>
  <c r="H639" i="1"/>
  <c r="J639" i="1" s="1"/>
  <c r="H640" i="1"/>
  <c r="I640" i="1" s="1"/>
  <c r="J640" i="1" s="1"/>
  <c r="H642" i="1"/>
  <c r="H643" i="1"/>
  <c r="G644" i="1"/>
  <c r="H644" i="1" s="1"/>
  <c r="H645" i="1"/>
  <c r="H646" i="1"/>
  <c r="H647" i="1"/>
  <c r="H648" i="1"/>
  <c r="H652" i="1"/>
  <c r="J652" i="1" s="1"/>
  <c r="G653" i="1"/>
  <c r="H629" i="1"/>
  <c r="H630" i="1"/>
  <c r="H631" i="1"/>
  <c r="H622" i="1"/>
  <c r="H623" i="1"/>
  <c r="H624" i="1"/>
  <c r="H625" i="1"/>
  <c r="J625" i="1" s="1"/>
  <c r="H613" i="1"/>
  <c r="H614" i="1"/>
  <c r="J614" i="1" s="1"/>
  <c r="H616" i="1"/>
  <c r="H617" i="1"/>
  <c r="H618" i="1"/>
  <c r="H598" i="1"/>
  <c r="H600" i="1"/>
  <c r="H602" i="1"/>
  <c r="H604" i="1"/>
  <c r="H606" i="1"/>
  <c r="H608" i="1"/>
  <c r="H609" i="1"/>
  <c r="H89" i="1"/>
  <c r="J89" i="1" s="1"/>
  <c r="H90" i="1"/>
  <c r="H91" i="1"/>
  <c r="H92" i="1"/>
  <c r="J92" i="1" s="1"/>
  <c r="H84" i="1"/>
  <c r="J84" i="1" s="1"/>
  <c r="H85" i="1"/>
  <c r="C594" i="1"/>
  <c r="G558" i="1"/>
  <c r="E12" i="2"/>
  <c r="I12" i="2"/>
  <c r="E13" i="2"/>
  <c r="F13" i="2" s="1"/>
  <c r="G13" i="2" s="1"/>
  <c r="I13" i="2"/>
  <c r="E14" i="2"/>
  <c r="I14" i="2"/>
  <c r="E15" i="2"/>
  <c r="F15" i="2" s="1"/>
  <c r="G15" i="2" s="1"/>
  <c r="I15" i="2"/>
  <c r="F14" i="2"/>
  <c r="G14" i="2"/>
  <c r="F12" i="2"/>
  <c r="G12" i="2"/>
  <c r="C807" i="1"/>
  <c r="C687" i="1"/>
  <c r="C772" i="1"/>
  <c r="C781" i="1"/>
  <c r="C803" i="1"/>
  <c r="C693" i="1"/>
  <c r="C676" i="1"/>
  <c r="C668" i="1"/>
  <c r="C660" i="1"/>
  <c r="C626" i="1"/>
  <c r="C619" i="1"/>
  <c r="C610" i="1"/>
  <c r="C80" i="1"/>
  <c r="C763" i="1"/>
  <c r="C734" i="1"/>
  <c r="C728" i="1"/>
  <c r="C93" i="1"/>
  <c r="C86" i="1"/>
  <c r="C655" i="1"/>
  <c r="C797" i="1"/>
  <c r="C811" i="1"/>
  <c r="C632" i="1"/>
  <c r="D56" i="1"/>
  <c r="D14" i="1"/>
  <c r="D52" i="1"/>
  <c r="D50" i="1"/>
  <c r="D48" i="1"/>
  <c r="D46" i="1"/>
  <c r="D44" i="1"/>
  <c r="D42" i="1"/>
  <c r="D40" i="1"/>
  <c r="D38" i="1"/>
  <c r="D36" i="1"/>
  <c r="D34" i="1"/>
  <c r="D32" i="1"/>
  <c r="D30" i="1"/>
  <c r="D28" i="1"/>
  <c r="D26" i="1"/>
  <c r="D24" i="1"/>
  <c r="D22" i="1"/>
  <c r="D20" i="1"/>
  <c r="D12" i="1"/>
  <c r="D10" i="1"/>
  <c r="D8" i="1"/>
  <c r="H576" i="1" l="1"/>
  <c r="H204" i="1"/>
  <c r="H193" i="1"/>
  <c r="H467" i="1"/>
  <c r="H471" i="1" s="1"/>
  <c r="H423" i="1"/>
  <c r="H427" i="1" s="1"/>
  <c r="H379" i="1"/>
  <c r="H280" i="1"/>
  <c r="H192" i="1"/>
  <c r="H101" i="1"/>
  <c r="H105" i="1" s="1"/>
  <c r="F586" i="1"/>
  <c r="H586" i="1" s="1"/>
  <c r="H585" i="1"/>
  <c r="I618" i="1"/>
  <c r="J618" i="1"/>
  <c r="I622" i="1"/>
  <c r="J622" i="1" s="1"/>
  <c r="I674" i="1"/>
  <c r="J674" i="1"/>
  <c r="I726" i="1"/>
  <c r="J726" i="1" s="1"/>
  <c r="I802" i="1"/>
  <c r="J802" i="1"/>
  <c r="I776" i="1"/>
  <c r="J78" i="1"/>
  <c r="I795" i="1"/>
  <c r="J795" i="1" s="1"/>
  <c r="H225" i="1"/>
  <c r="H229" i="1" s="1"/>
  <c r="I75" i="1"/>
  <c r="I80" i="1" s="1"/>
  <c r="I8" i="1" s="1"/>
  <c r="J8" i="1" s="1"/>
  <c r="I810" i="1"/>
  <c r="I811" i="1" s="1"/>
  <c r="I56" i="1" s="1"/>
  <c r="J810" i="1"/>
  <c r="J811" i="1" s="1"/>
  <c r="I794" i="1"/>
  <c r="J794" i="1" s="1"/>
  <c r="J91" i="1"/>
  <c r="I608" i="1"/>
  <c r="J608" i="1" s="1"/>
  <c r="J600" i="1"/>
  <c r="I600" i="1"/>
  <c r="I616" i="1"/>
  <c r="J616" i="1"/>
  <c r="I624" i="1"/>
  <c r="J624" i="1" s="1"/>
  <c r="I630" i="1"/>
  <c r="J630" i="1" s="1"/>
  <c r="I672" i="1"/>
  <c r="J672" i="1"/>
  <c r="I692" i="1"/>
  <c r="I693" i="1" s="1"/>
  <c r="I38" i="1" s="1"/>
  <c r="I724" i="1"/>
  <c r="J724" i="1"/>
  <c r="I712" i="1"/>
  <c r="J712" i="1" s="1"/>
  <c r="I731" i="1"/>
  <c r="J731" i="1" s="1"/>
  <c r="I759" i="1"/>
  <c r="J759" i="1" s="1"/>
  <c r="I769" i="1"/>
  <c r="J769" i="1"/>
  <c r="I789" i="1"/>
  <c r="J789" i="1" s="1"/>
  <c r="H557" i="1"/>
  <c r="H170" i="1"/>
  <c r="J780" i="1"/>
  <c r="H214" i="1"/>
  <c r="H218" i="1" s="1"/>
  <c r="H123" i="1"/>
  <c r="I707" i="1"/>
  <c r="J707" i="1" s="1"/>
  <c r="I792" i="1"/>
  <c r="J792" i="1" s="1"/>
  <c r="I787" i="1"/>
  <c r="J787" i="1" s="1"/>
  <c r="I604" i="1"/>
  <c r="J604" i="1" s="1"/>
  <c r="I613" i="1"/>
  <c r="J613" i="1" s="1"/>
  <c r="I684" i="1"/>
  <c r="J684" i="1" s="1"/>
  <c r="I721" i="1"/>
  <c r="J721" i="1"/>
  <c r="I703" i="1"/>
  <c r="J703" i="1" s="1"/>
  <c r="H324" i="1"/>
  <c r="J56" i="1"/>
  <c r="J785" i="1"/>
  <c r="I609" i="1"/>
  <c r="J609" i="1" s="1"/>
  <c r="I602" i="1"/>
  <c r="J602" i="1"/>
  <c r="J617" i="1"/>
  <c r="I617" i="1"/>
  <c r="I631" i="1"/>
  <c r="J631" i="1"/>
  <c r="I636" i="1"/>
  <c r="J665" i="1"/>
  <c r="J668" i="1" s="1"/>
  <c r="I673" i="1"/>
  <c r="J673" i="1" s="1"/>
  <c r="I682" i="1"/>
  <c r="J682" i="1"/>
  <c r="I725" i="1"/>
  <c r="J725" i="1" s="1"/>
  <c r="I718" i="1"/>
  <c r="J718" i="1" s="1"/>
  <c r="I733" i="1"/>
  <c r="J733" i="1"/>
  <c r="J752" i="1"/>
  <c r="J753" i="1"/>
  <c r="I758" i="1"/>
  <c r="J758" i="1"/>
  <c r="I768" i="1"/>
  <c r="J768" i="1" s="1"/>
  <c r="I793" i="1"/>
  <c r="J793" i="1"/>
  <c r="H583" i="1"/>
  <c r="H492" i="1"/>
  <c r="H368" i="1"/>
  <c r="H302" i="1"/>
  <c r="H258" i="1"/>
  <c r="H262" i="1" s="1"/>
  <c r="H503" i="1"/>
  <c r="I788" i="1"/>
  <c r="J788" i="1" s="1"/>
  <c r="C587" i="1"/>
  <c r="H584" i="1"/>
  <c r="J85" i="1"/>
  <c r="I90" i="1"/>
  <c r="I93" i="1" s="1"/>
  <c r="I12" i="1" s="1"/>
  <c r="J90" i="1"/>
  <c r="J93" i="1" s="1"/>
  <c r="I606" i="1"/>
  <c r="J606" i="1" s="1"/>
  <c r="I598" i="1"/>
  <c r="J598" i="1"/>
  <c r="I623" i="1"/>
  <c r="J623" i="1" s="1"/>
  <c r="H632" i="1"/>
  <c r="H26" i="1" s="1"/>
  <c r="I629" i="1"/>
  <c r="I632" i="1" s="1"/>
  <c r="I26" i="1" s="1"/>
  <c r="I638" i="1"/>
  <c r="J638" i="1" s="1"/>
  <c r="I658" i="1"/>
  <c r="I660" i="1" s="1"/>
  <c r="I30" i="1" s="1"/>
  <c r="J658" i="1"/>
  <c r="J660" i="1" s="1"/>
  <c r="I675" i="1"/>
  <c r="J675" i="1" s="1"/>
  <c r="I686" i="1"/>
  <c r="J686" i="1"/>
  <c r="I727" i="1"/>
  <c r="J727" i="1" s="1"/>
  <c r="I723" i="1"/>
  <c r="J723" i="1" s="1"/>
  <c r="I710" i="1"/>
  <c r="J710" i="1"/>
  <c r="I738" i="1"/>
  <c r="J738" i="1"/>
  <c r="J755" i="1"/>
  <c r="J756" i="1"/>
  <c r="I762" i="1"/>
  <c r="J762" i="1"/>
  <c r="I761" i="1"/>
  <c r="J761" i="1" s="1"/>
  <c r="I771" i="1"/>
  <c r="I772" i="1" s="1"/>
  <c r="I46" i="1" s="1"/>
  <c r="I784" i="1"/>
  <c r="J784" i="1"/>
  <c r="I83" i="1"/>
  <c r="I86" i="1" s="1"/>
  <c r="I699" i="1"/>
  <c r="J699" i="1" s="1"/>
  <c r="I806" i="1"/>
  <c r="I807" i="1" s="1"/>
  <c r="I54" i="1" s="1"/>
  <c r="J54" i="1" s="1"/>
  <c r="I786" i="1"/>
  <c r="J786" i="1"/>
  <c r="H134" i="1"/>
  <c r="H563" i="1"/>
  <c r="F564" i="1" s="1"/>
  <c r="H564" i="1" s="1"/>
  <c r="H456" i="1"/>
  <c r="H460" i="1" s="1"/>
  <c r="H401" i="1"/>
  <c r="H335" i="1"/>
  <c r="H303" i="1"/>
  <c r="H284" i="1"/>
  <c r="H285" i="1" s="1"/>
  <c r="H236" i="1"/>
  <c r="H194" i="1"/>
  <c r="H357" i="1"/>
  <c r="H361" i="1" s="1"/>
  <c r="H80" i="1"/>
  <c r="J80" i="1" s="1"/>
  <c r="H750" i="1"/>
  <c r="H577" i="1"/>
  <c r="C537" i="1"/>
  <c r="G545" i="1" s="1"/>
  <c r="H545" i="1" s="1"/>
  <c r="H668" i="1"/>
  <c r="H32" i="1" s="1"/>
  <c r="J32" i="1" s="1"/>
  <c r="H304" i="1"/>
  <c r="H781" i="1"/>
  <c r="H48" i="1" s="1"/>
  <c r="H481" i="1"/>
  <c r="H485" i="1" s="1"/>
  <c r="H434" i="1"/>
  <c r="H390" i="1"/>
  <c r="H346" i="1"/>
  <c r="H350" i="1" s="1"/>
  <c r="H247" i="1"/>
  <c r="H203" i="1"/>
  <c r="H159" i="1"/>
  <c r="H660" i="1"/>
  <c r="H30" i="1" s="1"/>
  <c r="J30" i="1" s="1"/>
  <c r="H693" i="1"/>
  <c r="H38" i="1" s="1"/>
  <c r="H496" i="1"/>
  <c r="H626" i="1"/>
  <c r="H24" i="1" s="1"/>
  <c r="H328" i="1"/>
  <c r="H93" i="1"/>
  <c r="H12" i="1" s="1"/>
  <c r="H619" i="1"/>
  <c r="H22" i="1" s="1"/>
  <c r="G654" i="1"/>
  <c r="H654" i="1" s="1"/>
  <c r="J654" i="1" s="1"/>
  <c r="H653" i="1"/>
  <c r="I653" i="1" s="1"/>
  <c r="J653" i="1" s="1"/>
  <c r="H687" i="1"/>
  <c r="H36" i="1" s="1"/>
  <c r="H772" i="1"/>
  <c r="H46" i="1" s="1"/>
  <c r="H571" i="1"/>
  <c r="H572" i="1"/>
  <c r="J572" i="1" s="1"/>
  <c r="F6" i="2"/>
  <c r="G6" i="2" s="1"/>
  <c r="I6" i="2"/>
  <c r="H610" i="1"/>
  <c r="H20" i="1" s="1"/>
  <c r="H507" i="1"/>
  <c r="H286" i="1"/>
  <c r="H185" i="1"/>
  <c r="G112" i="1"/>
  <c r="H112" i="1" s="1"/>
  <c r="G540" i="1"/>
  <c r="H540" i="1" s="1"/>
  <c r="H676" i="1"/>
  <c r="H34" i="1" s="1"/>
  <c r="H734" i="1"/>
  <c r="H42" i="1" s="1"/>
  <c r="H531" i="1"/>
  <c r="H449" i="1"/>
  <c r="H416" i="1"/>
  <c r="H383" i="1"/>
  <c r="H295" i="1"/>
  <c r="H273" i="1"/>
  <c r="I7" i="2"/>
  <c r="F7" i="2"/>
  <c r="G7" i="2" s="1"/>
  <c r="H86" i="1"/>
  <c r="G649" i="1"/>
  <c r="H797" i="1"/>
  <c r="H50" i="1" s="1"/>
  <c r="H558" i="1"/>
  <c r="J558" i="1" s="1"/>
  <c r="H520" i="1"/>
  <c r="H148" i="1"/>
  <c r="H728" i="1"/>
  <c r="H317" i="1"/>
  <c r="J12" i="1" l="1"/>
  <c r="H429" i="1"/>
  <c r="H428" i="1"/>
  <c r="H263" i="1"/>
  <c r="J264" i="1" s="1"/>
  <c r="H264" i="1"/>
  <c r="J619" i="1"/>
  <c r="G546" i="1"/>
  <c r="I610" i="1"/>
  <c r="I20" i="1" s="1"/>
  <c r="J626" i="1"/>
  <c r="H163" i="1"/>
  <c r="H165" i="1" s="1"/>
  <c r="H546" i="1"/>
  <c r="J547" i="1" s="1"/>
  <c r="J549" i="1" s="1"/>
  <c r="J728" i="1"/>
  <c r="J26" i="1"/>
  <c r="J687" i="1"/>
  <c r="H240" i="1"/>
  <c r="H241" i="1" s="1"/>
  <c r="J38" i="1"/>
  <c r="I728" i="1"/>
  <c r="I40" i="1" s="1"/>
  <c r="I797" i="1"/>
  <c r="I50" i="1" s="1"/>
  <c r="I687" i="1"/>
  <c r="I36" i="1" s="1"/>
  <c r="J36" i="1" s="1"/>
  <c r="I734" i="1"/>
  <c r="I42" i="1" s="1"/>
  <c r="I676" i="1"/>
  <c r="I34" i="1" s="1"/>
  <c r="I781" i="1"/>
  <c r="I48" i="1" s="1"/>
  <c r="J48" i="1" s="1"/>
  <c r="J776" i="1"/>
  <c r="J781" i="1" s="1"/>
  <c r="H763" i="1"/>
  <c r="H44" i="1" s="1"/>
  <c r="I750" i="1"/>
  <c r="I763" i="1" s="1"/>
  <c r="I44" i="1" s="1"/>
  <c r="J610" i="1"/>
  <c r="H196" i="1"/>
  <c r="H198" i="1" s="1"/>
  <c r="J42" i="1"/>
  <c r="J797" i="1"/>
  <c r="H127" i="1"/>
  <c r="J734" i="1"/>
  <c r="J676" i="1"/>
  <c r="H174" i="1"/>
  <c r="H175" i="1" s="1"/>
  <c r="J50" i="1"/>
  <c r="J34" i="1"/>
  <c r="H207" i="1"/>
  <c r="H209" i="1" s="1"/>
  <c r="J20" i="1"/>
  <c r="J46" i="1"/>
  <c r="J286" i="1"/>
  <c r="H372" i="1"/>
  <c r="J806" i="1"/>
  <c r="J807" i="1" s="1"/>
  <c r="J83" i="1"/>
  <c r="J86" i="1" s="1"/>
  <c r="J771" i="1"/>
  <c r="J772" i="1" s="1"/>
  <c r="J629" i="1"/>
  <c r="J632" i="1" s="1"/>
  <c r="J636" i="1"/>
  <c r="I655" i="1"/>
  <c r="I28" i="1" s="1"/>
  <c r="I619" i="1"/>
  <c r="I22" i="1" s="1"/>
  <c r="J22" i="1" s="1"/>
  <c r="J692" i="1"/>
  <c r="J693" i="1" s="1"/>
  <c r="J75" i="1"/>
  <c r="I626" i="1"/>
  <c r="I24" i="1" s="1"/>
  <c r="J24" i="1" s="1"/>
  <c r="F593" i="1"/>
  <c r="H593" i="1" s="1"/>
  <c r="J586" i="1"/>
  <c r="H566" i="1"/>
  <c r="H565" i="1"/>
  <c r="H251" i="1"/>
  <c r="H339" i="1"/>
  <c r="H306" i="1"/>
  <c r="H40" i="1"/>
  <c r="J40" i="1" s="1"/>
  <c r="F801" i="1"/>
  <c r="H801" i="1" s="1"/>
  <c r="H116" i="1"/>
  <c r="H117" i="1" s="1"/>
  <c r="H405" i="1"/>
  <c r="H407" i="1" s="1"/>
  <c r="H138" i="1"/>
  <c r="H394" i="1"/>
  <c r="H578" i="1"/>
  <c r="H579" i="1"/>
  <c r="H438" i="1"/>
  <c r="H186" i="1"/>
  <c r="H187" i="1"/>
  <c r="H351" i="1"/>
  <c r="H352" i="1"/>
  <c r="H274" i="1"/>
  <c r="H275" i="1"/>
  <c r="H417" i="1"/>
  <c r="H418" i="1"/>
  <c r="H152" i="1"/>
  <c r="H522" i="1"/>
  <c r="H521" i="1"/>
  <c r="H297" i="1"/>
  <c r="H296" i="1"/>
  <c r="H362" i="1"/>
  <c r="H363" i="1"/>
  <c r="H450" i="1"/>
  <c r="H451" i="1"/>
  <c r="H508" i="1"/>
  <c r="H509" i="1"/>
  <c r="H230" i="1"/>
  <c r="H231" i="1"/>
  <c r="H106" i="1"/>
  <c r="H107" i="1"/>
  <c r="H384" i="1"/>
  <c r="H385" i="1"/>
  <c r="H176" i="1"/>
  <c r="H219" i="1"/>
  <c r="H220" i="1"/>
  <c r="H532" i="1"/>
  <c r="H533" i="1"/>
  <c r="H549" i="1"/>
  <c r="H242" i="1"/>
  <c r="H329" i="1"/>
  <c r="H330" i="1"/>
  <c r="H462" i="1"/>
  <c r="H461" i="1"/>
  <c r="H319" i="1"/>
  <c r="H318" i="1"/>
  <c r="H472" i="1"/>
  <c r="H473" i="1"/>
  <c r="G650" i="1"/>
  <c r="H650" i="1" s="1"/>
  <c r="H649" i="1"/>
  <c r="H486" i="1"/>
  <c r="H487" i="1"/>
  <c r="H497" i="1"/>
  <c r="H498" i="1"/>
  <c r="J487" i="1" l="1"/>
  <c r="J451" i="1"/>
  <c r="J429" i="1"/>
  <c r="H118" i="1"/>
  <c r="J118" i="1" s="1"/>
  <c r="H208" i="1"/>
  <c r="H139" i="1"/>
  <c r="J140" i="1"/>
  <c r="H373" i="1"/>
  <c r="H374" i="1"/>
  <c r="J363" i="1"/>
  <c r="J220" i="1"/>
  <c r="H164" i="1"/>
  <c r="J165" i="1" s="1"/>
  <c r="J297" i="1"/>
  <c r="J533" i="1"/>
  <c r="J522" i="1"/>
  <c r="H197" i="1"/>
  <c r="J566" i="1"/>
  <c r="J498" i="1"/>
  <c r="J209" i="1"/>
  <c r="J352" i="1"/>
  <c r="H128" i="1"/>
  <c r="H129" i="1"/>
  <c r="J418" i="1"/>
  <c r="J107" i="1"/>
  <c r="J385" i="1"/>
  <c r="J509" i="1"/>
  <c r="J473" i="1"/>
  <c r="H253" i="1"/>
  <c r="J579" i="1"/>
  <c r="H406" i="1"/>
  <c r="J593" i="1"/>
  <c r="J44" i="1"/>
  <c r="J650" i="1"/>
  <c r="J655" i="1" s="1"/>
  <c r="I801" i="1"/>
  <c r="I803" i="1" s="1"/>
  <c r="I52" i="1" s="1"/>
  <c r="I62" i="1" s="1"/>
  <c r="I66" i="1" s="1"/>
  <c r="H340" i="1"/>
  <c r="J462" i="1"/>
  <c r="J319" i="1"/>
  <c r="J176" i="1"/>
  <c r="J187" i="1"/>
  <c r="J275" i="1"/>
  <c r="J750" i="1"/>
  <c r="J763" i="1" s="1"/>
  <c r="J330" i="1"/>
  <c r="J242" i="1"/>
  <c r="J231" i="1"/>
  <c r="H396" i="1"/>
  <c r="H395" i="1"/>
  <c r="J396" i="1" s="1"/>
  <c r="H803" i="1"/>
  <c r="H52" i="1" s="1"/>
  <c r="H440" i="1"/>
  <c r="H439" i="1"/>
  <c r="H341" i="1"/>
  <c r="H252" i="1"/>
  <c r="H140" i="1"/>
  <c r="H308" i="1"/>
  <c r="H307" i="1"/>
  <c r="H655" i="1"/>
  <c r="H153" i="1"/>
  <c r="H154" i="1"/>
  <c r="J341" i="1" l="1"/>
  <c r="J52" i="1"/>
  <c r="J801" i="1"/>
  <c r="J803" i="1" s="1"/>
  <c r="H587" i="1"/>
  <c r="H16" i="1" s="1"/>
  <c r="J16" i="1" s="1"/>
  <c r="J587" i="1"/>
  <c r="J308" i="1"/>
  <c r="J253" i="1"/>
  <c r="F590" i="1"/>
  <c r="H590" i="1" s="1"/>
  <c r="J129" i="1"/>
  <c r="J154" i="1"/>
  <c r="J198" i="1"/>
  <c r="J440" i="1"/>
  <c r="J407" i="1"/>
  <c r="J374" i="1"/>
  <c r="H28" i="1"/>
  <c r="J28" i="1" s="1"/>
  <c r="H535" i="1" l="1"/>
  <c r="H551" i="1" s="1"/>
  <c r="J551" i="1" s="1"/>
  <c r="J535" i="1"/>
  <c r="J590" i="1"/>
  <c r="H14" i="1"/>
  <c r="J14" i="1" s="1"/>
  <c r="F591" i="1" l="1"/>
  <c r="H591" i="1" s="1"/>
  <c r="J591" i="1" s="1"/>
  <c r="J594" i="1"/>
  <c r="H594" i="1"/>
  <c r="H18" i="1" l="1"/>
  <c r="J18" i="1" s="1"/>
  <c r="F820" i="1"/>
  <c r="H820" i="1" s="1"/>
  <c r="J820" i="1" s="1"/>
  <c r="F815" i="1"/>
  <c r="H815" i="1" s="1"/>
  <c r="J815" i="1" s="1"/>
  <c r="H821" i="1" l="1"/>
  <c r="J821" i="1" s="1"/>
  <c r="F814" i="1"/>
  <c r="H814" i="1" s="1"/>
  <c r="J814" i="1" s="1"/>
  <c r="H817" i="1" l="1"/>
  <c r="J817" i="1" s="1"/>
  <c r="H60" i="1"/>
  <c r="J60" i="1" s="1"/>
  <c r="H58" i="1" l="1"/>
  <c r="J58" i="1" s="1"/>
  <c r="H62" i="1" l="1"/>
  <c r="J62" i="1" s="1"/>
  <c r="J66" i="1" s="1"/>
  <c r="K44" i="1" l="1"/>
  <c r="H63" i="1"/>
  <c r="H64" i="1" s="1"/>
  <c r="K22" i="1"/>
  <c r="H66" i="1"/>
  <c r="H67" i="1" s="1"/>
  <c r="H68" i="1" s="1"/>
  <c r="K50" i="1"/>
  <c r="K48" i="1"/>
  <c r="K28" i="1"/>
  <c r="K24" i="1"/>
  <c r="K30" i="1"/>
  <c r="K18" i="1"/>
  <c r="K58" i="1"/>
  <c r="K36" i="1"/>
  <c r="K16" i="1"/>
  <c r="K56" i="1"/>
  <c r="K46" i="1"/>
  <c r="K26" i="1"/>
  <c r="K52" i="1"/>
  <c r="K8" i="1"/>
  <c r="K14" i="1"/>
  <c r="K54" i="1"/>
  <c r="K34" i="1"/>
  <c r="K20" i="1"/>
  <c r="K60" i="1"/>
  <c r="K40" i="1"/>
  <c r="K32" i="1"/>
  <c r="K38" i="1"/>
  <c r="K10" i="1"/>
  <c r="K42" i="1"/>
  <c r="K12" i="1"/>
</calcChain>
</file>

<file path=xl/sharedStrings.xml><?xml version="1.0" encoding="utf-8"?>
<sst xmlns="http://schemas.openxmlformats.org/spreadsheetml/2006/main" count="1356" uniqueCount="365">
  <si>
    <t>TOTAL RUBRO 21</t>
  </si>
  <si>
    <t>TOTAL RUBRO 20</t>
  </si>
  <si>
    <t>TOTAL RUBRO 18</t>
  </si>
  <si>
    <t>MOTORHOMES, TRAILERS Y CAMIONES DE CARGA</t>
  </si>
  <si>
    <t>PASAJES AL INTERIOR</t>
  </si>
  <si>
    <t>LIBRO / ARGUMENTO / GUION</t>
  </si>
  <si>
    <t>VEHICULOS DE PRODUCCION</t>
  </si>
  <si>
    <t>MUSICA</t>
  </si>
  <si>
    <t>SUTEP</t>
  </si>
  <si>
    <t>ALQUILER EQUIPAMIENTO ESPECIAL para LUCES (Grúas, etc.)</t>
  </si>
  <si>
    <t>CO-DIRECTOR</t>
    <phoneticPr fontId="9"/>
  </si>
  <si>
    <t>OTROS - COREOGRAFO / DIRECTOR MUSICAL / COACH</t>
    <phoneticPr fontId="9"/>
  </si>
  <si>
    <t>TOTAL RUBRO 12</t>
  </si>
  <si>
    <t>Posproducción</t>
  </si>
  <si>
    <t>Sábados</t>
  </si>
  <si>
    <t>MATERIAL VIRGEN</t>
  </si>
  <si>
    <t>Domingos</t>
  </si>
  <si>
    <t>TOTAL RUBRO 17</t>
  </si>
  <si>
    <t>TOTAL RUBRO 15</t>
  </si>
  <si>
    <t>COMBUSTIBLE PARA RODADOS</t>
  </si>
  <si>
    <t>CARGAS SOCIALES</t>
  </si>
  <si>
    <t>Meses</t>
  </si>
  <si>
    <t>ALQUILERES</t>
  </si>
  <si>
    <t>REALIZACIONES Y EFECTOS</t>
  </si>
  <si>
    <t>Días</t>
  </si>
  <si>
    <t>SEGURIDAD</t>
  </si>
  <si>
    <t>PROCESOS DE SONIDO</t>
  </si>
  <si>
    <t xml:space="preserve">CADETERIA Y MENSAJERIA </t>
  </si>
  <si>
    <t>Aereos</t>
  </si>
  <si>
    <t>Cant.</t>
  </si>
  <si>
    <t>Micro</t>
  </si>
  <si>
    <t>DIRECTOR</t>
  </si>
  <si>
    <t>EQUIPOS DE SONIDO</t>
  </si>
  <si>
    <t>SUB TOTAL</t>
  </si>
  <si>
    <t>FUERZA MOTRIZ</t>
  </si>
  <si>
    <t>MOVILIDAD</t>
  </si>
  <si>
    <t xml:space="preserve"> </t>
  </si>
  <si>
    <t>DIRECCION</t>
  </si>
  <si>
    <t>PRODUCCION</t>
  </si>
  <si>
    <t>Importe</t>
  </si>
  <si>
    <t>Cantidad</t>
  </si>
  <si>
    <t>Sem.</t>
  </si>
  <si>
    <t>PRODUCTOR EJECUTIVO</t>
    <phoneticPr fontId="9"/>
  </si>
  <si>
    <t>ESCENOGRAFIA</t>
  </si>
  <si>
    <t>EFECTOS ESPECIALES</t>
  </si>
  <si>
    <t>TOTAL RUBRO 6</t>
  </si>
  <si>
    <t>TOTAL RUBRO 24</t>
  </si>
  <si>
    <t>TOTAL RUBRO 25</t>
  </si>
  <si>
    <t>PRODUCTOR DELEGADO</t>
  </si>
  <si>
    <t>COPISTERIA</t>
  </si>
  <si>
    <t>TOTAL RUBRO 9</t>
  </si>
  <si>
    <t>COMPRA MATERIALES</t>
    <phoneticPr fontId="9"/>
  </si>
  <si>
    <t>FLETES DE EQUIPOS Y UTILERA</t>
  </si>
  <si>
    <t>TOTAL</t>
  </si>
  <si>
    <t>TOTAL RUBRO 5</t>
  </si>
  <si>
    <t>IVA</t>
    <phoneticPr fontId="9"/>
  </si>
  <si>
    <t>IVA</t>
    <phoneticPr fontId="9"/>
  </si>
  <si>
    <t>SADEM</t>
  </si>
  <si>
    <t>TOTAL RUBRO 10</t>
  </si>
  <si>
    <t>Mes</t>
  </si>
  <si>
    <t>LAVANDERIA, TINTORERIA, ARREGLOS, etc.</t>
  </si>
  <si>
    <t>OTROS - Desarrollo</t>
    <phoneticPr fontId="9"/>
  </si>
  <si>
    <t>DESGLOSE POR RUBROS</t>
  </si>
  <si>
    <t>Tickets aéreos</t>
    <phoneticPr fontId="9"/>
  </si>
  <si>
    <t>TOTAL RUBRO 22</t>
  </si>
  <si>
    <t>OTROS COSTOS</t>
  </si>
  <si>
    <t>SEGUROS</t>
  </si>
  <si>
    <t xml:space="preserve">ALQUILER DE OFICINAS </t>
    <phoneticPr fontId="9"/>
  </si>
  <si>
    <t>TOTAL RUBRO 11</t>
  </si>
  <si>
    <t>COMBUSTIBLE GENERADOR</t>
  </si>
  <si>
    <t>HONORARIOS LEGALES</t>
  </si>
  <si>
    <t>HONORARIOS PROFESIONAL CONTABLE</t>
  </si>
  <si>
    <t>TOTAL RUBRO 23</t>
  </si>
  <si>
    <t>Total</t>
  </si>
  <si>
    <t>Unidad</t>
  </si>
  <si>
    <t>LOCACIONES</t>
  </si>
  <si>
    <t>DIRECTOR DE PRODUCCION</t>
    <phoneticPr fontId="9"/>
  </si>
  <si>
    <t>TOTAL RUBRO 7</t>
  </si>
  <si>
    <t>Rodaje</t>
  </si>
  <si>
    <t>RUBROS</t>
  </si>
  <si>
    <t>TOTAL RUBRO 4</t>
  </si>
  <si>
    <t>TOTAL RUBRO 1</t>
  </si>
  <si>
    <t>TOTAL RUBRO 2</t>
  </si>
  <si>
    <t>TOTAL RUBRO 3</t>
  </si>
  <si>
    <t>Preproducción</t>
  </si>
  <si>
    <t>ADMINISTRACION</t>
  </si>
  <si>
    <t>ACCESORIOS</t>
  </si>
  <si>
    <t>MANTENIMIENTO Y LIMPIEZA</t>
  </si>
  <si>
    <t>STORY BOARD</t>
  </si>
  <si>
    <t>OTROS</t>
  </si>
  <si>
    <t xml:space="preserve"> Unidad</t>
  </si>
  <si>
    <t>MAQUILLAJE</t>
  </si>
  <si>
    <t>TOTALES</t>
  </si>
  <si>
    <t>TOTAL RUBRO 14</t>
  </si>
  <si>
    <t>TOTAL RUBRO 13</t>
  </si>
  <si>
    <t>Comidas x día</t>
  </si>
  <si>
    <t>MATERIAL DE ARCHIVO</t>
  </si>
  <si>
    <t>TOTAL RUBRO 8</t>
  </si>
  <si>
    <t>CONTRATACIONES DE MATERIAL DE ARCHIVO</t>
  </si>
  <si>
    <t>Transporte vehículos de acción</t>
    <phoneticPr fontId="9"/>
  </si>
  <si>
    <t>OTROS MATERIALES</t>
    <phoneticPr fontId="9"/>
  </si>
  <si>
    <t>OTROS - MATERIALES</t>
    <phoneticPr fontId="9"/>
  </si>
  <si>
    <t>PASAJES AL EXTERIOR</t>
    <phoneticPr fontId="9"/>
  </si>
  <si>
    <t>Gastos transporte aeropuertos</t>
    <phoneticPr fontId="9"/>
  </si>
  <si>
    <t>Transporte equipos especiales (gruas, construcciones luces, etc)</t>
    <phoneticPr fontId="9"/>
  </si>
  <si>
    <t>SECRETARIA PRODUCCION</t>
  </si>
  <si>
    <t>COMPRA MATERIALES (Realizaciones)</t>
  </si>
  <si>
    <t>LUCES</t>
  </si>
  <si>
    <t>GRIP</t>
  </si>
  <si>
    <t>COMPRAS VARIAS - para CAMARA, LUCES, GRIP Y SONIDO</t>
  </si>
  <si>
    <t>COMPRAS INSUMOS VESTUARIO (Percheros, etiquetas, fundas,  vs.)</t>
  </si>
  <si>
    <t xml:space="preserve">Total </t>
  </si>
  <si>
    <t xml:space="preserve">Mes </t>
  </si>
  <si>
    <t xml:space="preserve">Días </t>
  </si>
  <si>
    <t xml:space="preserve">RESCRITURAS </t>
  </si>
  <si>
    <t xml:space="preserve">LIBRO ORIGINAL </t>
  </si>
  <si>
    <t>Hs. Extras Diurnas (3hs x Extra)</t>
  </si>
  <si>
    <t xml:space="preserve">PERSONAL TECNICO, ARTISTICO, CHOFERES, SEGURIDAD,  etc. </t>
  </si>
  <si>
    <t>Días rodaje</t>
  </si>
  <si>
    <t>OTROS (postizos, tatuajes, etc)</t>
  </si>
  <si>
    <t>REALIZACIONES / MODIFICACIONES DECORADOS, pinturas, etc.</t>
  </si>
  <si>
    <t>Total c/IVA</t>
  </si>
  <si>
    <t>Cot. Dólar</t>
  </si>
  <si>
    <r>
      <t>Prep</t>
    </r>
    <r>
      <rPr>
        <sz val="10"/>
        <rFont val="Arial"/>
        <family val="2"/>
      </rPr>
      <t>roducción</t>
    </r>
  </si>
  <si>
    <r>
      <t>MOTOR HOME VESTUARIO</t>
    </r>
    <r>
      <rPr>
        <sz val="10"/>
        <rFont val="Arial"/>
        <family val="2"/>
      </rPr>
      <t>/ Maquillaje</t>
    </r>
  </si>
  <si>
    <t>FLETES - Utilería, ambientación, Producción (Pre., Rodaje y Pos.)</t>
  </si>
  <si>
    <t>EQUIPO TECNICO</t>
  </si>
  <si>
    <t>CONSUMOS, REPOSICIONES, ROTURAS</t>
  </si>
  <si>
    <t>EQUIPOS DE COMUNICACIÓN (Handies)</t>
  </si>
  <si>
    <t>SAC</t>
  </si>
  <si>
    <t>Remun. Bruta</t>
  </si>
  <si>
    <t xml:space="preserve">SERVICIO DE CATERING  (Desayuno y Almuerzo ) </t>
  </si>
  <si>
    <t>DISCOS DUROS EXTERNOS</t>
  </si>
  <si>
    <t>dac2014</t>
  </si>
  <si>
    <t>DAC2015</t>
  </si>
  <si>
    <t xml:space="preserve">GRUA </t>
  </si>
  <si>
    <r>
      <t>CAMARA Y SONIDO</t>
    </r>
    <r>
      <rPr>
        <sz val="10"/>
        <rFont val="Arial"/>
        <family val="2"/>
      </rPr>
      <t xml:space="preserve"> (Furgon)</t>
    </r>
  </si>
  <si>
    <t>ALQUILER GENERADOR</t>
  </si>
  <si>
    <t>Mens</t>
  </si>
  <si>
    <t>Meses trabajados</t>
  </si>
  <si>
    <t>Hs Extras x Mes.</t>
  </si>
  <si>
    <t xml:space="preserve">GUION </t>
  </si>
  <si>
    <t>COORDINADOR DE PRODUCCION (CAT 1)</t>
  </si>
  <si>
    <t>JEFE DE PRODUCCION (CAT 1)</t>
  </si>
  <si>
    <t>ASISTENTE DE PRODUCCION OFICINA (CAT 6)</t>
  </si>
  <si>
    <t xml:space="preserve"> Mens </t>
  </si>
  <si>
    <t xml:space="preserve"> Mes </t>
  </si>
  <si>
    <t>ASISTENTE DE LOCACIONES (CAT 6)</t>
  </si>
  <si>
    <t>ASISTENTE DE DIRECCION (CAT 3)</t>
  </si>
  <si>
    <t xml:space="preserve"> CONTINUISTA (CAT 5)</t>
  </si>
  <si>
    <t>DIRECTOR DE CASTING (CAT 3)</t>
  </si>
  <si>
    <t>GAFFER (CAT 5)</t>
  </si>
  <si>
    <t>REFLECTORISTA (2) (CAT 7)</t>
  </si>
  <si>
    <t>OPERADOR DE GENERADOR (7)</t>
  </si>
  <si>
    <t>COORDINADOR/A DE ARTE (CAT 5)</t>
  </si>
  <si>
    <t>ASISTENTE DE ARTE (CAT 7)</t>
  </si>
  <si>
    <t>UTILERO (CAT 7)</t>
  </si>
  <si>
    <t>VESTUARISTA (CAT 3)</t>
  </si>
  <si>
    <t>COORDINADOR DE VESTUARIO (CAT 5)</t>
  </si>
  <si>
    <t>ASISTENTE DE VESTUARIO EN SET (CAT 7)</t>
  </si>
  <si>
    <t>MICROFONISTA (2) (CAT 7)</t>
  </si>
  <si>
    <t>PRODUCTOR DE OFICINA (CAT 3)</t>
  </si>
  <si>
    <t>ASISTENTE DE PRODUCCION EXTERIORES  (2) (CAT 6)</t>
  </si>
  <si>
    <t>1 linea</t>
  </si>
  <si>
    <t>2 linea</t>
  </si>
  <si>
    <t>Jornada</t>
  </si>
  <si>
    <t xml:space="preserve">SAT </t>
  </si>
  <si>
    <t>ADICIONALES SAT</t>
  </si>
  <si>
    <t>Antigüedad</t>
  </si>
  <si>
    <t>Comidas</t>
  </si>
  <si>
    <t>Merienda</t>
  </si>
  <si>
    <t>Exteriores</t>
  </si>
  <si>
    <t>Torre</t>
  </si>
  <si>
    <t>Guardería</t>
  </si>
  <si>
    <t>Ropa</t>
  </si>
  <si>
    <t>UTILERIA/AMBIENTACIÓN</t>
  </si>
  <si>
    <t>Global</t>
  </si>
  <si>
    <t>Capitulo</t>
  </si>
  <si>
    <t xml:space="preserve">REALIZACIONES </t>
  </si>
  <si>
    <t>APUNTADOR (CONTRATO MENSUAL)</t>
  </si>
  <si>
    <t>Semana</t>
  </si>
  <si>
    <t>COMPRAS</t>
  </si>
  <si>
    <t>REALIZACIONES</t>
  </si>
  <si>
    <t>ALQUILERES (Jornadas 10 hs)</t>
  </si>
  <si>
    <t>Bases (valor x Jornada 5 x semana)</t>
  </si>
  <si>
    <t>Movilidad Locador</t>
  </si>
  <si>
    <t>Tramite</t>
  </si>
  <si>
    <t>Varios de Locaciones, estacionamientos y peajes</t>
  </si>
  <si>
    <t xml:space="preserve">Discos (3TB) </t>
  </si>
  <si>
    <t>POST DE SONIDO Y MEZCLA</t>
  </si>
  <si>
    <t>ESTACION DE BAJADA</t>
  </si>
  <si>
    <t>CAMAROGRAFO (2)  (CAT 3)</t>
  </si>
  <si>
    <t>SUB TOTAL ADICIONALES</t>
  </si>
  <si>
    <t>SUB TOTAL RUBRO 4</t>
  </si>
  <si>
    <t xml:space="preserve">TELEFONIA FIJA BASICA </t>
  </si>
  <si>
    <t xml:space="preserve">PAPELERIA DE OFICINA </t>
  </si>
  <si>
    <t>SERVICIOS</t>
  </si>
  <si>
    <t>MULTICOPIADORA</t>
  </si>
  <si>
    <t>VARIOS DE PRODUCCION</t>
  </si>
  <si>
    <t>CONTINGENCIAS</t>
  </si>
  <si>
    <t xml:space="preserve">OTROS </t>
  </si>
  <si>
    <t>IMPUESTOS</t>
  </si>
  <si>
    <t>IIBB</t>
  </si>
  <si>
    <t>3% DEL COSTO TOTAL</t>
  </si>
  <si>
    <t>TOTAL RUBRO 26</t>
  </si>
  <si>
    <t>Reposición Maquillaje</t>
  </si>
  <si>
    <t>Mensual</t>
  </si>
  <si>
    <t>REPOSICIONES</t>
  </si>
  <si>
    <t>AUTOS DE ACCION  ( 2 Autos por semana)</t>
  </si>
  <si>
    <t>AMBIENTACION</t>
  </si>
  <si>
    <t>ASISTENTE DE VESTUARIO DE CALLE (CAT 7)</t>
  </si>
  <si>
    <t>PROCESO DE POSTPRODUCCIÓN</t>
  </si>
  <si>
    <t>DETALLE POST DE VIDEO</t>
  </si>
  <si>
    <t>Capítulo</t>
  </si>
  <si>
    <t>EQUIPO DE POST PRODUCCION</t>
  </si>
  <si>
    <t>EQUIPO TECNICO DE EXTERIORES</t>
  </si>
  <si>
    <t>PRODUCCION DE OFICINA</t>
  </si>
  <si>
    <t>Semanal</t>
  </si>
  <si>
    <t>PRENSA</t>
  </si>
  <si>
    <t xml:space="preserve"> 3 medidas, set de cuñas , Etc)</t>
  </si>
  <si>
    <r>
      <t>MATERIAL ELECTRICO y GRIP</t>
    </r>
    <r>
      <rPr>
        <sz val="10"/>
        <rFont val="Arial"/>
        <family val="2"/>
      </rPr>
      <t xml:space="preserve"> (camión mediano)</t>
    </r>
  </si>
  <si>
    <t>Comidas Crew Avanzada 2 veces por semana.</t>
  </si>
  <si>
    <t>Subtotal</t>
  </si>
  <si>
    <t>ELENCO PRINCIPAL  (CONTRATO AAA  MENSUAL X 3 MESES)</t>
  </si>
  <si>
    <t>1 Invitado 1 línea</t>
  </si>
  <si>
    <t>1 Actor 2 línea</t>
  </si>
  <si>
    <t>Valor Bolo (6,25 hs)</t>
  </si>
  <si>
    <t xml:space="preserve">Valor Excedentes 180' </t>
  </si>
  <si>
    <t>Valor  Bolo</t>
  </si>
  <si>
    <t>Otras Locaciones 1 por capitulo ( 1Jornada x semana)</t>
  </si>
  <si>
    <r>
      <t xml:space="preserve">BASET - Habilitación Vía Pública </t>
    </r>
    <r>
      <rPr>
        <b/>
        <sz val="10"/>
        <rFont val="Arial"/>
        <family val="2"/>
      </rPr>
      <t xml:space="preserve">(semestral) </t>
    </r>
  </si>
  <si>
    <r>
      <t xml:space="preserve">BASET - Cortes de Calle "Resto de la Ciudad" Diurno </t>
    </r>
    <r>
      <rPr>
        <b/>
        <sz val="10"/>
        <rFont val="Arial"/>
        <family val="2"/>
      </rPr>
      <t>(1 x semana)</t>
    </r>
  </si>
  <si>
    <r>
      <t xml:space="preserve">BASET - Reducción Carril para despeje "Resto de la Ciudad" Diurno </t>
    </r>
    <r>
      <rPr>
        <b/>
        <sz val="10"/>
        <rFont val="Arial"/>
        <family val="2"/>
      </rPr>
      <t>(1 x día)</t>
    </r>
  </si>
  <si>
    <r>
      <t xml:space="preserve">BASET- Vereda </t>
    </r>
    <r>
      <rPr>
        <b/>
        <sz val="10"/>
        <rFont val="Arial"/>
        <family val="2"/>
      </rPr>
      <t>(1 x capitulo)</t>
    </r>
  </si>
  <si>
    <r>
      <t xml:space="preserve">BASET - Estacionamiento vehiculos de filmación </t>
    </r>
    <r>
      <rPr>
        <b/>
        <sz val="10"/>
        <rFont val="Arial"/>
        <family val="2"/>
      </rPr>
      <t>(1 x dia)</t>
    </r>
  </si>
  <si>
    <t>PERMISOS DE RODAJE (12 hs) Los valores son cada 130 mts</t>
  </si>
  <si>
    <r>
      <t xml:space="preserve">BASET - Espacios Verdes, jornadas de rodaje </t>
    </r>
    <r>
      <rPr>
        <b/>
        <sz val="10"/>
        <rFont val="Arial"/>
        <family val="2"/>
      </rPr>
      <t>(5 plazas en toda la serie )</t>
    </r>
  </si>
  <si>
    <r>
      <t xml:space="preserve">Baset Gestion de tramite </t>
    </r>
    <r>
      <rPr>
        <b/>
        <sz val="10"/>
        <rFont val="Arial"/>
        <family val="2"/>
      </rPr>
      <t>(por tramite)</t>
    </r>
  </si>
  <si>
    <t>TOTAL RUBRO 16</t>
  </si>
  <si>
    <t xml:space="preserve"> + Accesorios (Hand grip, Follow focus Trípodes, filtros varios, Monitores 24"</t>
  </si>
  <si>
    <t>CAMARA (Equipamiento completo de cámara y monitoreo)</t>
  </si>
  <si>
    <t>Accesorios (Trípodes, líneas, tableros, zapatillas,bolsas de arena, tres medidas ,</t>
  </si>
  <si>
    <t>pantallas banderas, marcos,portatelgos,barracudas, plaquetas, alargues, etc)</t>
  </si>
  <si>
    <t xml:space="preserve">Carro de travelling y Accesorios ( Vías rectas y curvas, bolsas, </t>
  </si>
  <si>
    <t>2 Micrófonos boom Sennheizer 416 Phantom  / 2 zeppelin Sennheiser</t>
  </si>
  <si>
    <t>2 Microfonos Sennheiser MKH 416P , Sistema IFB zaxcom.</t>
  </si>
  <si>
    <t xml:space="preserve"> Carro portaequipos, Manguera de mic y retorno, accesorios, etc. </t>
  </si>
  <si>
    <t xml:space="preserve"> Varios: cámaras, luces, accesorios, grip, etc  </t>
  </si>
  <si>
    <t>TOTAL RUBRO 19</t>
  </si>
  <si>
    <t>Extra por Capitulo</t>
  </si>
  <si>
    <t>COMIDAS</t>
  </si>
  <si>
    <t>EQUIPOS DE CAMARAS/LUCES/SONIDO</t>
  </si>
  <si>
    <t>basico</t>
  </si>
  <si>
    <t>adic. Capit</t>
  </si>
  <si>
    <t>presentismo</t>
  </si>
  <si>
    <t>total Bruto</t>
  </si>
  <si>
    <t>valor Hr Extra</t>
  </si>
  <si>
    <r>
      <t>VAC</t>
    </r>
    <r>
      <rPr>
        <sz val="9"/>
        <rFont val="Arial"/>
        <family val="2"/>
      </rPr>
      <t xml:space="preserve"> no gozadas</t>
    </r>
  </si>
  <si>
    <t>%</t>
  </si>
  <si>
    <t>CAT</t>
  </si>
  <si>
    <t>AMBIENTADOR/A (CAT 5)</t>
  </si>
  <si>
    <t>OPERADOR DE SONIDO (CAT 4)</t>
  </si>
  <si>
    <t>horas</t>
  </si>
  <si>
    <t>(2) Hs extras diarias por fuera de las 7+3 hs  para 10 técnicos.</t>
  </si>
  <si>
    <t>BOLOS MINIMOS (CANT. 5 X CAPITULO)</t>
  </si>
  <si>
    <r>
      <t xml:space="preserve">CARGAS SOCIALES  </t>
    </r>
    <r>
      <rPr>
        <sz val="9"/>
        <rFont val="Arial"/>
        <family val="2"/>
      </rPr>
      <t xml:space="preserve">  (incluye ART)</t>
    </r>
  </si>
  <si>
    <t>ELENCO</t>
  </si>
  <si>
    <t>TOTAL X EPISODIO</t>
  </si>
  <si>
    <t>Postproducción</t>
  </si>
  <si>
    <t>Capítulos</t>
  </si>
  <si>
    <t>EXTRAS (SUTEP)  (9  EXTRAS COMUNES X CAPITULO)</t>
  </si>
  <si>
    <t>9 Extras  x capitulo + Planillero</t>
  </si>
  <si>
    <t>A.A.A</t>
  </si>
  <si>
    <t>ALQUILER DEPOSITO VESTUARIO</t>
  </si>
  <si>
    <t>Reposición materiales de Peinado</t>
  </si>
  <si>
    <t xml:space="preserve">AYUDANTES </t>
  </si>
  <si>
    <t>Locación Principal 1 por capitulo (4 Jornadas x semana)</t>
  </si>
  <si>
    <t>Limpieza de Locaciones (Valor diario 1 servicio por semana)</t>
  </si>
  <si>
    <t>Combustible</t>
  </si>
  <si>
    <t xml:space="preserve">Discos (4TB) </t>
  </si>
  <si>
    <t xml:space="preserve">Discos (2TB) </t>
  </si>
  <si>
    <t>Para Tránsito (Discos externos)</t>
  </si>
  <si>
    <t xml:space="preserve">Post y Mezcla de sonido en Protools. </t>
  </si>
  <si>
    <t>Mezcla 2.0 Mix y M&amp;E</t>
  </si>
  <si>
    <t xml:space="preserve"> MacBook Pro 15" RETINA - Intel Core i7 2.6 GHz - 16 GB RAM - HD 1 TB SSD -GEFORCE G750M 2048 MB- 1x
Puerto HDMI -2x USB3 – 2x Thunderbolt – 1x Ranura SD Card
-1x CalDigit TS2 - Dock Station - 2 puertos eSata - 2 puertos Thunderbolt - 2 puertos USB3
-1x Soft para Data Managment Shotput Pro
-1x Soft para Trasco DaVinci Resolve Lite 
-1 grabador de Video Devices </t>
  </si>
  <si>
    <t xml:space="preserve">Tv logic  con instrumentos para monitoreo, tarjetas, etc.) </t>
  </si>
  <si>
    <t>VESTUARIO</t>
  </si>
  <si>
    <t>Locación Secundaria</t>
  </si>
  <si>
    <t>CONTRATACION EMPRESA EFECTOS ESPECIALES EN SET</t>
  </si>
  <si>
    <t xml:space="preserve">Ej. Lluvia, Stunts, armas, disparos, explosiones, etc. </t>
  </si>
  <si>
    <t>Grabador Multitrack 8 canales</t>
  </si>
  <si>
    <t xml:space="preserve">Sistema de monitoreo inhalambrico y auriculares, 4 Sist. Inalámbrico Lectrosonic, </t>
  </si>
  <si>
    <t>AUTOS</t>
  </si>
  <si>
    <t>ADMINISTRACIÓN</t>
  </si>
  <si>
    <t xml:space="preserve">OFICIAL ADMINISTRATIVO (CAT 5) </t>
  </si>
  <si>
    <t xml:space="preserve">AUXILIAR ADMINISTRATIVO (CAT 7) </t>
  </si>
  <si>
    <r>
      <t>SEGURIDAD PARA FILMACION</t>
    </r>
    <r>
      <rPr>
        <sz val="10"/>
        <rFont val="Arial"/>
        <family val="2"/>
      </rPr>
      <t xml:space="preserve"> (1 x día + 1 de despeje x 2 días x sem)</t>
    </r>
  </si>
  <si>
    <t>IMPUESTOS a los Débitos y Créditos</t>
  </si>
  <si>
    <r>
      <t xml:space="preserve">COMPOSITOR </t>
    </r>
    <r>
      <rPr>
        <sz val="10"/>
        <rFont val="Arial"/>
        <family val="2"/>
      </rPr>
      <t>(cortina, Música fondo, leit-motiv, etc.) Autoría Integral (SADAIC)</t>
    </r>
  </si>
  <si>
    <r>
      <t xml:space="preserve">SADEM </t>
    </r>
    <r>
      <rPr>
        <sz val="10"/>
        <rFont val="Arial"/>
        <family val="2"/>
      </rPr>
      <t xml:space="preserve">(x interpretación) música original </t>
    </r>
  </si>
  <si>
    <t>Derechos Régimen Telefilm (SADAIC) vigencia hasta Agosto 2017</t>
  </si>
  <si>
    <t>VFX - GRÁFICA APERTURA / TÍTULOS</t>
  </si>
  <si>
    <t>Servicios Gráficos y de Efectos Visuales para Apertura / Títulos</t>
  </si>
  <si>
    <t>Ingesta y Back up de Material - Alquiler de isla de edición</t>
  </si>
  <si>
    <t>y complementaria para asistente - incluye corrección vfx sencillos</t>
  </si>
  <si>
    <t>CORRECCION DE COLOR - ON LINE</t>
  </si>
  <si>
    <t xml:space="preserve">Conformado On Line y Corrección de color en Scratch (con colorista) </t>
  </si>
  <si>
    <t>Comidas en Pruebas de Maquillaje y Peinado / Pruebas de Cámara / Scounting</t>
  </si>
  <si>
    <t>VAN traslados equipo rodaje X 2 - 100 km. Libres (incl. Scouting)</t>
  </si>
  <si>
    <r>
      <t xml:space="preserve">GESTIÓN PERMISO DE MENORES </t>
    </r>
    <r>
      <rPr>
        <sz val="10"/>
        <rFont val="Arial"/>
        <family val="2"/>
      </rPr>
      <t>(EVENTUAL)</t>
    </r>
  </si>
  <si>
    <r>
      <t xml:space="preserve">IVA </t>
    </r>
    <r>
      <rPr>
        <sz val="10"/>
        <rFont val="Arial"/>
        <family val="2"/>
      </rPr>
      <t>(Está calculado en cada Rubro)</t>
    </r>
  </si>
  <si>
    <t>SEGUROS EQUIPOS Y RC</t>
  </si>
  <si>
    <t>Equipamiento / Responsabilidad Civil</t>
  </si>
  <si>
    <r>
      <t>ACCIDENTES PERSONALES</t>
    </r>
    <r>
      <rPr>
        <sz val="10"/>
        <rFont val="Arial"/>
        <family val="2"/>
      </rPr>
      <t xml:space="preserve"> (Proveedores y Extras)</t>
    </r>
  </si>
  <si>
    <t>DATA MANAGER - VIDEO ASSIST (CAT 7)</t>
  </si>
  <si>
    <t>5 Bolos x capitulo</t>
  </si>
  <si>
    <t>Viáticos x traslado Capital Federal</t>
  </si>
  <si>
    <t>ALQUILER DEPÓSITO DE ARTE</t>
  </si>
  <si>
    <t>OTROS SERVICIOS</t>
  </si>
  <si>
    <t xml:space="preserve">Para Material Crudo y Back Up </t>
  </si>
  <si>
    <t>Para entrega de Materiales</t>
  </si>
  <si>
    <t>2 Cámaras (Alexa / Sony F55 / Red) + Opticas (Compact Prime SET / 18-35-50-85-135 MM)</t>
  </si>
  <si>
    <t>STEADYCAM con Operador</t>
  </si>
  <si>
    <t>Faroles: H.M.I. - Fresneles -  Artefactos de tubos</t>
  </si>
  <si>
    <t>GRIPS especiales</t>
  </si>
  <si>
    <t xml:space="preserve">Van Departamento de Arte  (con Chofer) </t>
  </si>
  <si>
    <t>Auto Vestuario (con Chofer) incluye Combustible</t>
  </si>
  <si>
    <t>Remises - Varios - Actores</t>
  </si>
  <si>
    <t>TAXIS - REMISES - TRENES - SUBTERRANEOS</t>
  </si>
  <si>
    <t>Estacionamiento  - Peajes</t>
  </si>
  <si>
    <t xml:space="preserve">Peones. (carga y descarga) </t>
  </si>
  <si>
    <t>Generador Principal y Generadores Portatiles</t>
  </si>
  <si>
    <t>CAJA CHICA OFICINA</t>
  </si>
  <si>
    <t>3 X Minimo  AAA</t>
  </si>
  <si>
    <t>ELENCO CO-PROTAGONISTA ( BOLO / 3 a 4 JORNADAS DE LABOR)</t>
  </si>
  <si>
    <t>15 equipos  + Accesorios, cargadores, Baterías, caja de traslado. TOTAL</t>
  </si>
  <si>
    <t>TOTAL RUBRO 27</t>
  </si>
  <si>
    <t>CONTINGENCIA</t>
  </si>
  <si>
    <t>DAC - Presupuesto Unitario Medio -  2019</t>
  </si>
  <si>
    <r>
      <t xml:space="preserve"> BASE: Lunes a Viernes 7 hs diarias + 3 extras diarias = 10 hs totales. </t>
    </r>
    <r>
      <rPr>
        <b/>
        <i/>
        <sz val="10"/>
        <color rgb="FFFF0000"/>
        <rFont val="Arial"/>
        <family val="2"/>
      </rPr>
      <t>Valores con Vigencia a Mayo/Octubre 2019</t>
    </r>
  </si>
  <si>
    <t>escalas hasta diciembre 2018</t>
  </si>
  <si>
    <t>Paritaria 2018/2019</t>
  </si>
  <si>
    <t>escalas salariales hasta Junio 2019</t>
  </si>
  <si>
    <t>Valor extra especial (10 hs.)</t>
  </si>
  <si>
    <r>
      <t xml:space="preserve">x </t>
    </r>
    <r>
      <rPr>
        <sz val="10"/>
        <rFont val="Arial"/>
        <family val="2"/>
      </rPr>
      <t>10</t>
    </r>
    <r>
      <rPr>
        <sz val="10"/>
        <rFont val="Arial"/>
        <family val="2"/>
      </rPr>
      <t xml:space="preserve"> contratos</t>
    </r>
  </si>
  <si>
    <t>JEFE DE LOCACIONES  (CAT 1)</t>
  </si>
  <si>
    <t>DIRECTOR DE FOTOGRAFIA (CAT 1)</t>
  </si>
  <si>
    <t>JEFE TECNICO (CAT 1)</t>
  </si>
  <si>
    <r>
      <t xml:space="preserve">MAQUILLADORA (CAT </t>
    </r>
    <r>
      <rPr>
        <b/>
        <sz val="10"/>
        <rFont val="Arial"/>
        <family val="2"/>
      </rPr>
      <t>3</t>
    </r>
    <r>
      <rPr>
        <b/>
        <sz val="10"/>
        <rFont val="Arial"/>
        <family val="2"/>
      </rPr>
      <t>)</t>
    </r>
  </si>
  <si>
    <t>PEINADOR (CAT 3)</t>
  </si>
  <si>
    <t>AYUDANTE DE MAQUILLAJE / PEINADO (CAT 6)</t>
  </si>
  <si>
    <r>
      <t xml:space="preserve">BASET -  Bocacalle "Resto de la Ciudad" Diurno </t>
    </r>
    <r>
      <rPr>
        <b/>
        <sz val="10"/>
        <rFont val="Arial"/>
        <family val="2"/>
      </rPr>
      <t>(3 en los 10 capitulos)</t>
    </r>
  </si>
  <si>
    <r>
      <t xml:space="preserve">BASET - Estacionamiento vehiculos Recorrido con Base </t>
    </r>
    <r>
      <rPr>
        <b/>
        <sz val="10"/>
        <rFont val="Arial"/>
        <family val="2"/>
      </rPr>
      <t>(2 en los 10 capitulos)</t>
    </r>
  </si>
  <si>
    <t>ASISTENTE DE CAMARA (1) (CAT 7)</t>
  </si>
  <si>
    <t>DIRECTOR DE ARTE (CAT 1)</t>
  </si>
  <si>
    <t>GRIP (CAT 5)</t>
  </si>
  <si>
    <t>ASISTENTE DE CAMARA FOQUISTA (2) (CAT 4)</t>
  </si>
  <si>
    <t xml:space="preserve">EDITOR (CAT 2) </t>
  </si>
  <si>
    <t>AYUDANTE DE EDICION / LOGGER (2 ) (CAT 6)</t>
  </si>
  <si>
    <t>ASISTENTE DE POST-PRODUCCIÓN  (CAT 6)</t>
  </si>
  <si>
    <t>TELEFONIA MOVIL (PARA 20 PERSONAS ALQUILER Y CONSUMO)</t>
  </si>
  <si>
    <t>Impresión de banners, evento de presentación, fotógrafos, etc</t>
  </si>
  <si>
    <t>IVA</t>
  </si>
  <si>
    <t>TOTAL GENERAL</t>
  </si>
  <si>
    <t>TOTAL con 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</si>
</sst>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 &quot;$&quot;\ * #,##0.00_ ;_ &quot;$&quot;\ * \-#,##0.00_ ;_ &quot;$&quot;\ * &quot;-&quot;??_ ;_ @_ "/>
    <numFmt numFmtId="43" formatCode="_ * #,##0.00_ ;_ * \-#,##0.00_ ;_ * &quot;-&quot;??_ ;_ @_ "/>
    <numFmt numFmtId="164" formatCode="00"/>
    <numFmt numFmtId="165" formatCode="#,##0.0"/>
    <numFmt numFmtId="166" formatCode="[$$-409]#,##0.00"/>
    <numFmt numFmtId="167" formatCode="&quot;$&quot;#,##0.00"/>
  </numFmts>
  <fonts count="3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8"/>
      <name val="Verdana"/>
      <family val="2"/>
    </font>
    <font>
      <sz val="9.5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i/>
      <sz val="9"/>
      <color theme="0" tint="-0.499984740745262"/>
      <name val="Arial"/>
      <family val="2"/>
    </font>
    <font>
      <b/>
      <sz val="6"/>
      <color theme="0" tint="-4.9989318521683403E-2"/>
      <name val="Arial"/>
      <family val="2"/>
    </font>
    <font>
      <sz val="11"/>
      <color indexed="8"/>
      <name val="Calibri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i/>
      <sz val="9"/>
      <color theme="0" tint="-0.499984740745262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b/>
      <i/>
      <sz val="10"/>
      <name val="Arial"/>
      <family val="2"/>
    </font>
    <font>
      <b/>
      <i/>
      <sz val="10"/>
      <color rgb="FFFF0000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1"/>
      <color theme="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290B6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6" tint="-0.249977111117893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indexed="55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55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55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double">
        <color rgb="FF0000FF"/>
      </left>
      <right/>
      <top style="double">
        <color rgb="FF0000FF"/>
      </top>
      <bottom/>
      <diagonal/>
    </border>
    <border>
      <left/>
      <right/>
      <top style="double">
        <color rgb="FF0000FF"/>
      </top>
      <bottom/>
      <diagonal/>
    </border>
    <border>
      <left style="double">
        <color rgb="FF0000FF"/>
      </left>
      <right/>
      <top/>
      <bottom/>
      <diagonal/>
    </border>
    <border>
      <left/>
      <right style="double">
        <color rgb="FF0000FF"/>
      </right>
      <top/>
      <bottom/>
      <diagonal/>
    </border>
    <border>
      <left style="double">
        <color rgb="FF0000FF"/>
      </left>
      <right/>
      <top/>
      <bottom style="double">
        <color rgb="FF0000FF"/>
      </bottom>
      <diagonal/>
    </border>
    <border>
      <left/>
      <right/>
      <top/>
      <bottom style="double">
        <color rgb="FF0000F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55"/>
      </bottom>
      <diagonal/>
    </border>
  </borders>
  <cellStyleXfs count="10">
    <xf numFmtId="0" fontId="0" fillId="0" borderId="0"/>
    <xf numFmtId="43" fontId="2" fillId="0" borderId="0" applyFont="0" applyFill="0" applyBorder="0" applyAlignment="0" applyProtection="0"/>
    <xf numFmtId="0" fontId="23" fillId="0" borderId="0"/>
    <xf numFmtId="0" fontId="1" fillId="0" borderId="0"/>
    <xf numFmtId="44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</cellStyleXfs>
  <cellXfs count="494">
    <xf numFmtId="0" fontId="0" fillId="0" borderId="0" xfId="0"/>
    <xf numFmtId="0" fontId="5" fillId="2" borderId="1" xfId="0" applyFont="1" applyFill="1" applyBorder="1" applyAlignment="1" applyProtection="1">
      <alignment horizontal="right" vertical="center"/>
      <protection locked="0"/>
    </xf>
    <xf numFmtId="0" fontId="5" fillId="0" borderId="2" xfId="0" applyFont="1" applyFill="1" applyBorder="1" applyAlignment="1" applyProtection="1">
      <alignment vertical="center"/>
      <protection locked="0"/>
    </xf>
    <xf numFmtId="4" fontId="5" fillId="0" borderId="2" xfId="1" applyNumberFormat="1" applyFont="1" applyFill="1" applyBorder="1" applyAlignment="1" applyProtection="1">
      <alignment horizontal="right" vertical="center"/>
      <protection locked="0"/>
    </xf>
    <xf numFmtId="43" fontId="5" fillId="2" borderId="0" xfId="1" applyFont="1" applyFill="1" applyBorder="1" applyAlignment="1" applyProtection="1">
      <alignment horizontal="right" vertical="center"/>
      <protection hidden="1"/>
    </xf>
    <xf numFmtId="0" fontId="5" fillId="2" borderId="0" xfId="0" applyFont="1" applyFill="1" applyBorder="1" applyAlignment="1" applyProtection="1">
      <alignment vertical="center"/>
      <protection hidden="1"/>
    </xf>
    <xf numFmtId="0" fontId="5" fillId="2" borderId="0" xfId="0" applyFont="1" applyFill="1" applyBorder="1" applyAlignment="1" applyProtection="1">
      <alignment horizontal="left" vertical="center"/>
      <protection locked="0"/>
    </xf>
    <xf numFmtId="43" fontId="5" fillId="2" borderId="0" xfId="1" applyFont="1" applyFill="1" applyBorder="1" applyAlignment="1" applyProtection="1">
      <alignment horizontal="right" vertical="center"/>
      <protection locked="0"/>
    </xf>
    <xf numFmtId="0" fontId="5" fillId="2" borderId="0" xfId="0" applyFont="1" applyFill="1" applyBorder="1" applyAlignment="1" applyProtection="1">
      <alignment vertical="center"/>
      <protection locked="0"/>
    </xf>
    <xf numFmtId="4" fontId="4" fillId="2" borderId="0" xfId="0" applyNumberFormat="1" applyFont="1" applyFill="1" applyBorder="1" applyAlignment="1" applyProtection="1">
      <alignment vertical="center"/>
      <protection locked="0"/>
    </xf>
    <xf numFmtId="1" fontId="5" fillId="2" borderId="2" xfId="1" applyNumberFormat="1" applyFont="1" applyFill="1" applyBorder="1" applyAlignment="1" applyProtection="1">
      <alignment horizontal="right" vertical="center"/>
      <protection locked="0"/>
    </xf>
    <xf numFmtId="0" fontId="5" fillId="2" borderId="2" xfId="0" applyFont="1" applyFill="1" applyBorder="1" applyAlignment="1" applyProtection="1">
      <alignment vertical="center"/>
      <protection locked="0"/>
    </xf>
    <xf numFmtId="0" fontId="12" fillId="2" borderId="2" xfId="0" applyFont="1" applyFill="1" applyBorder="1" applyAlignment="1" applyProtection="1">
      <alignment vertical="center"/>
      <protection locked="0"/>
    </xf>
    <xf numFmtId="3" fontId="11" fillId="2" borderId="0" xfId="0" applyNumberFormat="1" applyFont="1" applyFill="1" applyBorder="1" applyAlignment="1" applyProtection="1">
      <alignment horizontal="center" vertical="center"/>
      <protection locked="0"/>
    </xf>
    <xf numFmtId="0" fontId="12" fillId="2" borderId="1" xfId="0" applyFont="1" applyFill="1" applyBorder="1" applyAlignment="1" applyProtection="1">
      <alignment horizontal="right" vertical="center"/>
      <protection locked="0"/>
    </xf>
    <xf numFmtId="10" fontId="5" fillId="2" borderId="2" xfId="1" applyNumberFormat="1" applyFont="1" applyFill="1" applyBorder="1" applyAlignment="1" applyProtection="1">
      <alignment horizontal="right" vertical="center"/>
      <protection locked="0"/>
    </xf>
    <xf numFmtId="0" fontId="5" fillId="2" borderId="4" xfId="0" applyFont="1" applyFill="1" applyBorder="1" applyAlignment="1" applyProtection="1">
      <alignment vertical="center"/>
      <protection locked="0"/>
    </xf>
    <xf numFmtId="43" fontId="5" fillId="2" borderId="2" xfId="1" applyFont="1" applyFill="1" applyBorder="1" applyAlignment="1" applyProtection="1">
      <alignment horizontal="right" vertical="center"/>
      <protection locked="0"/>
    </xf>
    <xf numFmtId="43" fontId="5" fillId="2" borderId="2" xfId="1" applyFont="1" applyFill="1" applyBorder="1" applyAlignment="1" applyProtection="1">
      <alignment horizontal="right" vertical="center"/>
      <protection hidden="1"/>
    </xf>
    <xf numFmtId="0" fontId="5" fillId="0" borderId="0" xfId="0" applyFont="1" applyFill="1" applyBorder="1" applyAlignment="1" applyProtection="1">
      <alignment vertical="center"/>
      <protection locked="0"/>
    </xf>
    <xf numFmtId="43" fontId="5" fillId="0" borderId="0" xfId="1" applyFont="1" applyFill="1" applyBorder="1" applyAlignment="1" applyProtection="1">
      <alignment horizontal="right" vertical="center"/>
      <protection locked="0"/>
    </xf>
    <xf numFmtId="3" fontId="5" fillId="0" borderId="2" xfId="1" applyNumberFormat="1" applyFont="1" applyFill="1" applyBorder="1" applyAlignment="1" applyProtection="1">
      <alignment horizontal="right" vertical="center"/>
      <protection locked="0"/>
    </xf>
    <xf numFmtId="3" fontId="5" fillId="2" borderId="2" xfId="0" quotePrefix="1" applyNumberFormat="1" applyFont="1" applyFill="1" applyBorder="1" applyAlignment="1" applyProtection="1">
      <alignment horizontal="right" vertical="center"/>
      <protection locked="0"/>
    </xf>
    <xf numFmtId="3" fontId="5" fillId="2" borderId="2" xfId="0" applyNumberFormat="1" applyFont="1" applyFill="1" applyBorder="1" applyAlignment="1" applyProtection="1">
      <alignment horizontal="right" vertical="center"/>
      <protection locked="0"/>
    </xf>
    <xf numFmtId="3" fontId="5" fillId="2" borderId="2" xfId="0" applyNumberFormat="1" applyFont="1" applyFill="1" applyBorder="1" applyAlignment="1" applyProtection="1">
      <alignment vertical="center"/>
      <protection locked="0"/>
    </xf>
    <xf numFmtId="3" fontId="5" fillId="2" borderId="5" xfId="0" applyNumberFormat="1" applyFont="1" applyFill="1" applyBorder="1" applyAlignment="1" applyProtection="1">
      <alignment vertical="center"/>
      <protection locked="0"/>
    </xf>
    <xf numFmtId="3" fontId="5" fillId="0" borderId="2" xfId="0" applyNumberFormat="1" applyFont="1" applyFill="1" applyBorder="1" applyAlignment="1" applyProtection="1">
      <alignment vertical="center"/>
      <protection locked="0"/>
    </xf>
    <xf numFmtId="3" fontId="5" fillId="2" borderId="1" xfId="0" applyNumberFormat="1" applyFont="1" applyFill="1" applyBorder="1" applyAlignment="1" applyProtection="1">
      <alignment vertical="center"/>
      <protection locked="0"/>
    </xf>
    <xf numFmtId="3" fontId="5" fillId="2" borderId="3" xfId="0" applyNumberFormat="1" applyFont="1" applyFill="1" applyBorder="1" applyAlignment="1" applyProtection="1">
      <alignment vertical="center"/>
      <protection locked="0"/>
    </xf>
    <xf numFmtId="3" fontId="5" fillId="2" borderId="0" xfId="0" applyNumberFormat="1" applyFont="1" applyFill="1" applyBorder="1" applyAlignment="1" applyProtection="1">
      <alignment vertical="center"/>
      <protection locked="0"/>
    </xf>
    <xf numFmtId="3" fontId="12" fillId="2" borderId="2" xfId="0" applyNumberFormat="1" applyFont="1" applyFill="1" applyBorder="1" applyAlignment="1" applyProtection="1">
      <alignment vertical="center"/>
      <protection locked="0"/>
    </xf>
    <xf numFmtId="3" fontId="12" fillId="0" borderId="2" xfId="0" applyNumberFormat="1" applyFont="1" applyFill="1" applyBorder="1" applyAlignment="1" applyProtection="1">
      <alignment vertical="center"/>
      <protection locked="0"/>
    </xf>
    <xf numFmtId="3" fontId="5" fillId="2" borderId="6" xfId="0" applyNumberFormat="1" applyFont="1" applyFill="1" applyBorder="1" applyAlignment="1" applyProtection="1">
      <alignment vertical="center"/>
      <protection locked="0"/>
    </xf>
    <xf numFmtId="3" fontId="5" fillId="2" borderId="2" xfId="1" applyNumberFormat="1" applyFont="1" applyFill="1" applyBorder="1" applyAlignment="1" applyProtection="1">
      <alignment horizontal="right" vertical="center"/>
      <protection locked="0"/>
    </xf>
    <xf numFmtId="3" fontId="12" fillId="2" borderId="2" xfId="1" applyNumberFormat="1" applyFont="1" applyFill="1" applyBorder="1" applyAlignment="1" applyProtection="1">
      <alignment horizontal="right" vertical="center"/>
      <protection locked="0"/>
    </xf>
    <xf numFmtId="0" fontId="12" fillId="2" borderId="3" xfId="0" applyFont="1" applyFill="1" applyBorder="1" applyAlignment="1" applyProtection="1">
      <alignment horizontal="right" vertical="center"/>
      <protection locked="0"/>
    </xf>
    <xf numFmtId="0" fontId="8" fillId="0" borderId="0" xfId="0" applyFont="1" applyAlignment="1">
      <alignment vertical="center"/>
    </xf>
    <xf numFmtId="0" fontId="5" fillId="2" borderId="0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Fill="1" applyAlignment="1">
      <alignment vertical="center"/>
    </xf>
    <xf numFmtId="0" fontId="4" fillId="2" borderId="0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4" fillId="2" borderId="7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3" fontId="2" fillId="2" borderId="2" xfId="0" applyNumberFormat="1" applyFont="1" applyFill="1" applyBorder="1" applyAlignment="1" applyProtection="1">
      <alignment vertical="center"/>
      <protection locked="0"/>
    </xf>
    <xf numFmtId="165" fontId="12" fillId="2" borderId="2" xfId="0" applyNumberFormat="1" applyFont="1" applyFill="1" applyBorder="1" applyAlignment="1" applyProtection="1">
      <alignment vertical="center"/>
      <protection locked="0"/>
    </xf>
    <xf numFmtId="3" fontId="2" fillId="2" borderId="2" xfId="1" applyNumberFormat="1" applyFont="1" applyFill="1" applyBorder="1" applyAlignment="1" applyProtection="1">
      <alignment horizontal="right" vertical="center"/>
      <protection locked="0"/>
    </xf>
    <xf numFmtId="4" fontId="5" fillId="2" borderId="2" xfId="0" applyNumberFormat="1" applyFont="1" applyFill="1" applyBorder="1" applyAlignment="1" applyProtection="1">
      <alignment vertical="center"/>
      <protection locked="0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3" fontId="11" fillId="3" borderId="0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43" fontId="5" fillId="2" borderId="8" xfId="1" applyFont="1" applyFill="1" applyBorder="1" applyAlignment="1" applyProtection="1">
      <alignment horizontal="right" vertical="center"/>
      <protection hidden="1"/>
    </xf>
    <xf numFmtId="0" fontId="5" fillId="2" borderId="8" xfId="0" applyFont="1" applyFill="1" applyBorder="1" applyAlignment="1" applyProtection="1">
      <alignment vertical="center"/>
      <protection hidden="1"/>
    </xf>
    <xf numFmtId="0" fontId="19" fillId="2" borderId="0" xfId="0" applyFont="1" applyFill="1" applyBorder="1" applyAlignment="1">
      <alignment horizontal="center" vertical="center"/>
    </xf>
    <xf numFmtId="0" fontId="20" fillId="2" borderId="0" xfId="0" applyFont="1" applyFill="1" applyAlignment="1">
      <alignment vertical="center"/>
    </xf>
    <xf numFmtId="0" fontId="0" fillId="2" borderId="1" xfId="0" applyFont="1" applyFill="1" applyBorder="1" applyAlignment="1" applyProtection="1">
      <alignment horizontal="right" vertical="center"/>
      <protection locked="0"/>
    </xf>
    <xf numFmtId="3" fontId="5" fillId="2" borderId="9" xfId="0" applyNumberFormat="1" applyFont="1" applyFill="1" applyBorder="1" applyAlignment="1" applyProtection="1">
      <alignment vertical="center"/>
      <protection locked="0"/>
    </xf>
    <xf numFmtId="43" fontId="0" fillId="2" borderId="2" xfId="1" applyFont="1" applyFill="1" applyBorder="1" applyAlignment="1" applyProtection="1">
      <alignment horizontal="right" vertical="center"/>
      <protection locked="0"/>
    </xf>
    <xf numFmtId="3" fontId="5" fillId="2" borderId="10" xfId="0" applyNumberFormat="1" applyFont="1" applyFill="1" applyBorder="1" applyAlignment="1" applyProtection="1">
      <alignment vertical="center"/>
      <protection locked="0"/>
    </xf>
    <xf numFmtId="3" fontId="0" fillId="2" borderId="7" xfId="0" applyNumberFormat="1" applyFont="1" applyFill="1" applyBorder="1" applyAlignment="1">
      <alignment vertical="center"/>
    </xf>
    <xf numFmtId="3" fontId="0" fillId="2" borderId="5" xfId="0" applyNumberFormat="1" applyFont="1" applyFill="1" applyBorder="1" applyAlignment="1">
      <alignment vertical="center"/>
    </xf>
    <xf numFmtId="3" fontId="5" fillId="2" borderId="11" xfId="0" applyNumberFormat="1" applyFont="1" applyFill="1" applyBorder="1" applyAlignment="1" applyProtection="1">
      <alignment vertical="center"/>
      <protection locked="0"/>
    </xf>
    <xf numFmtId="3" fontId="0" fillId="2" borderId="2" xfId="0" applyNumberFormat="1" applyFont="1" applyFill="1" applyBorder="1" applyAlignment="1" applyProtection="1">
      <alignment vertical="center"/>
      <protection locked="0"/>
    </xf>
    <xf numFmtId="4" fontId="0" fillId="2" borderId="0" xfId="0" applyNumberFormat="1" applyFont="1" applyFill="1" applyBorder="1" applyAlignment="1" applyProtection="1">
      <alignment horizontal="right" vertical="center"/>
      <protection locked="0"/>
    </xf>
    <xf numFmtId="3" fontId="0" fillId="2" borderId="0" xfId="0" applyNumberFormat="1" applyFont="1" applyFill="1" applyBorder="1" applyAlignment="1" applyProtection="1">
      <alignment vertical="center"/>
      <protection locked="0"/>
    </xf>
    <xf numFmtId="0" fontId="0" fillId="2" borderId="0" xfId="0" applyFont="1" applyFill="1" applyBorder="1" applyAlignment="1">
      <alignment vertical="center"/>
    </xf>
    <xf numFmtId="3" fontId="0" fillId="2" borderId="1" xfId="0" applyNumberFormat="1" applyFont="1" applyFill="1" applyBorder="1" applyAlignment="1" applyProtection="1">
      <alignment vertical="center"/>
      <protection locked="0"/>
    </xf>
    <xf numFmtId="0" fontId="0" fillId="2" borderId="0" xfId="0" applyFont="1" applyFill="1" applyAlignment="1">
      <alignment vertical="center"/>
    </xf>
    <xf numFmtId="1" fontId="0" fillId="2" borderId="2" xfId="1" applyNumberFormat="1" applyFont="1" applyFill="1" applyBorder="1" applyAlignment="1" applyProtection="1">
      <alignment horizontal="right" vertical="center"/>
      <protection locked="0"/>
    </xf>
    <xf numFmtId="3" fontId="0" fillId="2" borderId="6" xfId="0" applyNumberFormat="1" applyFont="1" applyFill="1" applyBorder="1" applyAlignment="1">
      <alignment vertical="center"/>
    </xf>
    <xf numFmtId="3" fontId="0" fillId="2" borderId="2" xfId="0" applyNumberFormat="1" applyFont="1" applyFill="1" applyBorder="1" applyAlignment="1">
      <alignment vertical="center"/>
    </xf>
    <xf numFmtId="0" fontId="0" fillId="2" borderId="12" xfId="0" applyFont="1" applyFill="1" applyBorder="1" applyAlignment="1" applyProtection="1">
      <alignment horizontal="right" vertical="center"/>
      <protection locked="0"/>
    </xf>
    <xf numFmtId="43" fontId="0" fillId="2" borderId="0" xfId="1" applyFont="1" applyFill="1" applyBorder="1" applyAlignment="1" applyProtection="1">
      <alignment horizontal="right" vertical="center"/>
      <protection locked="0"/>
    </xf>
    <xf numFmtId="0" fontId="0" fillId="2" borderId="3" xfId="0" applyFont="1" applyFill="1" applyBorder="1" applyAlignment="1" applyProtection="1">
      <alignment horizontal="right" vertical="center"/>
      <protection locked="0"/>
    </xf>
    <xf numFmtId="0" fontId="20" fillId="2" borderId="11" xfId="0" applyFont="1" applyFill="1" applyBorder="1" applyAlignment="1">
      <alignment vertical="center"/>
    </xf>
    <xf numFmtId="3" fontId="20" fillId="2" borderId="11" xfId="0" applyNumberFormat="1" applyFont="1" applyFill="1" applyBorder="1" applyAlignment="1">
      <alignment vertical="center"/>
    </xf>
    <xf numFmtId="0" fontId="7" fillId="2" borderId="0" xfId="0" applyFont="1" applyFill="1" applyBorder="1" applyAlignment="1">
      <alignment horizontal="right" vertical="center"/>
    </xf>
    <xf numFmtId="3" fontId="5" fillId="2" borderId="3" xfId="0" applyNumberFormat="1" applyFont="1" applyFill="1" applyBorder="1" applyAlignment="1" applyProtection="1">
      <alignment horizontal="center" vertical="center"/>
      <protection locked="0"/>
    </xf>
    <xf numFmtId="43" fontId="0" fillId="2" borderId="2" xfId="1" applyFont="1" applyFill="1" applyBorder="1" applyAlignment="1" applyProtection="1">
      <alignment horizontal="right" vertical="center"/>
      <protection hidden="1"/>
    </xf>
    <xf numFmtId="3" fontId="5" fillId="2" borderId="7" xfId="0" applyNumberFormat="1" applyFont="1" applyFill="1" applyBorder="1" applyAlignment="1" applyProtection="1">
      <alignment vertical="center"/>
      <protection locked="0"/>
    </xf>
    <xf numFmtId="3" fontId="0" fillId="2" borderId="7" xfId="0" applyNumberFormat="1" applyFont="1" applyFill="1" applyBorder="1" applyAlignment="1" applyProtection="1">
      <alignment vertical="center"/>
      <protection locked="0"/>
    </xf>
    <xf numFmtId="0" fontId="0" fillId="2" borderId="2" xfId="0" applyFont="1" applyFill="1" applyBorder="1" applyAlignment="1" applyProtection="1">
      <alignment vertical="center"/>
      <protection locked="0"/>
    </xf>
    <xf numFmtId="3" fontId="0" fillId="2" borderId="5" xfId="0" applyNumberFormat="1" applyFont="1" applyFill="1" applyBorder="1" applyAlignment="1" applyProtection="1">
      <alignment vertical="center"/>
      <protection locked="0"/>
    </xf>
    <xf numFmtId="43" fontId="0" fillId="2" borderId="3" xfId="1" applyFont="1" applyFill="1" applyBorder="1" applyAlignment="1" applyProtection="1">
      <alignment horizontal="right" vertical="center"/>
      <protection locked="0"/>
    </xf>
    <xf numFmtId="0" fontId="0" fillId="2" borderId="1" xfId="0" applyFont="1" applyFill="1" applyBorder="1" applyAlignment="1">
      <alignment horizontal="right" vertical="center"/>
    </xf>
    <xf numFmtId="0" fontId="0" fillId="2" borderId="12" xfId="0" applyFont="1" applyFill="1" applyBorder="1" applyAlignment="1">
      <alignment horizontal="right" vertical="center"/>
    </xf>
    <xf numFmtId="3" fontId="0" fillId="2" borderId="2" xfId="1" applyNumberFormat="1" applyFont="1" applyFill="1" applyBorder="1" applyAlignment="1" applyProtection="1">
      <alignment horizontal="right" vertical="center"/>
      <protection locked="0"/>
    </xf>
    <xf numFmtId="0" fontId="0" fillId="0" borderId="0" xfId="0" applyFont="1" applyFill="1" applyAlignment="1">
      <alignment vertical="center"/>
    </xf>
    <xf numFmtId="3" fontId="0" fillId="2" borderId="15" xfId="0" applyNumberFormat="1" applyFont="1" applyFill="1" applyBorder="1" applyAlignment="1" applyProtection="1">
      <alignment vertical="center"/>
      <protection locked="0"/>
    </xf>
    <xf numFmtId="164" fontId="13" fillId="2" borderId="0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43" fontId="5" fillId="2" borderId="11" xfId="1" applyFont="1" applyFill="1" applyBorder="1" applyAlignment="1" applyProtection="1">
      <alignment horizontal="right" vertical="center"/>
      <protection hidden="1"/>
    </xf>
    <xf numFmtId="0" fontId="7" fillId="2" borderId="17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3" fillId="2" borderId="19" xfId="0" applyNumberFormat="1" applyFont="1" applyFill="1" applyBorder="1" applyAlignment="1">
      <alignment horizontal="center" vertical="center"/>
    </xf>
    <xf numFmtId="166" fontId="7" fillId="2" borderId="19" xfId="0" applyNumberFormat="1" applyFont="1" applyFill="1" applyBorder="1" applyAlignment="1">
      <alignment horizontal="center" vertical="center"/>
    </xf>
    <xf numFmtId="166" fontId="3" fillId="2" borderId="11" xfId="0" applyNumberFormat="1" applyFont="1" applyFill="1" applyBorder="1" applyAlignment="1">
      <alignment horizontal="center" vertical="center"/>
    </xf>
    <xf numFmtId="166" fontId="7" fillId="2" borderId="11" xfId="0" applyNumberFormat="1" applyFont="1" applyFill="1" applyBorder="1" applyAlignment="1">
      <alignment horizontal="center" vertical="center"/>
    </xf>
    <xf numFmtId="1" fontId="0" fillId="2" borderId="3" xfId="1" applyNumberFormat="1" applyFont="1" applyFill="1" applyBorder="1" applyAlignment="1" applyProtection="1">
      <alignment horizontal="right" vertical="center"/>
      <protection locked="0"/>
    </xf>
    <xf numFmtId="0" fontId="5" fillId="2" borderId="14" xfId="0" applyFont="1" applyFill="1" applyBorder="1" applyAlignment="1" applyProtection="1">
      <alignment vertical="center"/>
      <protection locked="0"/>
    </xf>
    <xf numFmtId="0" fontId="12" fillId="2" borderId="4" xfId="0" applyFont="1" applyFill="1" applyBorder="1" applyAlignment="1" applyProtection="1">
      <alignment vertical="center"/>
      <protection locked="0"/>
    </xf>
    <xf numFmtId="0" fontId="21" fillId="2" borderId="0" xfId="0" applyFont="1" applyFill="1" applyBorder="1" applyAlignment="1">
      <alignment vertical="center"/>
    </xf>
    <xf numFmtId="0" fontId="11" fillId="4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right" vertical="center"/>
    </xf>
    <xf numFmtId="0" fontId="7" fillId="2" borderId="20" xfId="0" applyFont="1" applyFill="1" applyBorder="1" applyAlignment="1">
      <alignment horizontal="center" vertical="center"/>
    </xf>
    <xf numFmtId="3" fontId="0" fillId="0" borderId="2" xfId="0" applyNumberFormat="1" applyFont="1" applyFill="1" applyBorder="1" applyAlignment="1" applyProtection="1">
      <alignment vertical="center"/>
      <protection locked="0"/>
    </xf>
    <xf numFmtId="0" fontId="0" fillId="2" borderId="7" xfId="0" applyFont="1" applyFill="1" applyBorder="1" applyAlignment="1">
      <alignment vertical="center"/>
    </xf>
    <xf numFmtId="0" fontId="0" fillId="2" borderId="17" xfId="0" applyFont="1" applyFill="1" applyBorder="1" applyAlignment="1" applyProtection="1">
      <alignment horizontal="right" vertical="center"/>
      <protection locked="0"/>
    </xf>
    <xf numFmtId="167" fontId="7" fillId="2" borderId="21" xfId="0" applyNumberFormat="1" applyFont="1" applyFill="1" applyBorder="1" applyAlignment="1">
      <alignment horizontal="center" vertical="center"/>
    </xf>
    <xf numFmtId="43" fontId="5" fillId="2" borderId="4" xfId="1" applyFont="1" applyFill="1" applyBorder="1" applyAlignment="1" applyProtection="1">
      <alignment horizontal="right" vertical="center"/>
      <protection locked="0"/>
    </xf>
    <xf numFmtId="0" fontId="0" fillId="2" borderId="13" xfId="0" applyFont="1" applyFill="1" applyBorder="1" applyAlignment="1">
      <alignment horizontal="right" vertical="center"/>
    </xf>
    <xf numFmtId="3" fontId="20" fillId="2" borderId="16" xfId="0" applyNumberFormat="1" applyFont="1" applyFill="1" applyBorder="1" applyAlignment="1">
      <alignment vertical="center"/>
    </xf>
    <xf numFmtId="3" fontId="5" fillId="2" borderId="16" xfId="0" applyNumberFormat="1" applyFont="1" applyFill="1" applyBorder="1" applyAlignment="1" applyProtection="1">
      <alignment vertical="center"/>
      <protection locked="0"/>
    </xf>
    <xf numFmtId="0" fontId="20" fillId="2" borderId="16" xfId="0" applyFont="1" applyFill="1" applyBorder="1" applyAlignment="1">
      <alignment vertical="center"/>
    </xf>
    <xf numFmtId="1" fontId="0" fillId="2" borderId="2" xfId="0" applyNumberFormat="1" applyFont="1" applyFill="1" applyBorder="1" applyAlignment="1" applyProtection="1">
      <alignment horizontal="right" vertical="center"/>
      <protection locked="0"/>
    </xf>
    <xf numFmtId="4" fontId="0" fillId="2" borderId="9" xfId="0" applyNumberFormat="1" applyFont="1" applyFill="1" applyBorder="1" applyAlignment="1" applyProtection="1">
      <alignment vertical="center"/>
      <protection locked="0"/>
    </xf>
    <xf numFmtId="3" fontId="20" fillId="2" borderId="9" xfId="0" applyNumberFormat="1" applyFont="1" applyFill="1" applyBorder="1" applyAlignment="1">
      <alignment vertical="center"/>
    </xf>
    <xf numFmtId="3" fontId="0" fillId="2" borderId="1" xfId="0" applyNumberFormat="1" applyFont="1" applyFill="1" applyBorder="1" applyAlignment="1">
      <alignment vertical="center"/>
    </xf>
    <xf numFmtId="3" fontId="0" fillId="0" borderId="2" xfId="0" applyNumberFormat="1" applyFont="1" applyBorder="1" applyAlignment="1">
      <alignment vertical="center"/>
    </xf>
    <xf numFmtId="3" fontId="0" fillId="2" borderId="16" xfId="0" applyNumberFormat="1" applyFont="1" applyFill="1" applyBorder="1" applyAlignment="1">
      <alignment vertical="center"/>
    </xf>
    <xf numFmtId="4" fontId="0" fillId="2" borderId="2" xfId="0" applyNumberFormat="1" applyFont="1" applyFill="1" applyBorder="1" applyAlignment="1" applyProtection="1">
      <alignment vertical="center"/>
      <protection locked="0"/>
    </xf>
    <xf numFmtId="3" fontId="20" fillId="2" borderId="13" xfId="0" applyNumberFormat="1" applyFont="1" applyFill="1" applyBorder="1" applyAlignment="1">
      <alignment vertical="center"/>
    </xf>
    <xf numFmtId="3" fontId="12" fillId="2" borderId="3" xfId="0" applyNumberFormat="1" applyFont="1" applyFill="1" applyBorder="1" applyAlignment="1" applyProtection="1">
      <alignment vertical="center"/>
      <protection locked="0"/>
    </xf>
    <xf numFmtId="3" fontId="0" fillId="2" borderId="12" xfId="0" applyNumberFormat="1" applyFont="1" applyFill="1" applyBorder="1" applyAlignment="1">
      <alignment vertical="center"/>
    </xf>
    <xf numFmtId="3" fontId="0" fillId="2" borderId="14" xfId="0" applyNumberFormat="1" applyFont="1" applyFill="1" applyBorder="1" applyAlignment="1">
      <alignment vertical="center"/>
    </xf>
    <xf numFmtId="3" fontId="0" fillId="2" borderId="13" xfId="0" applyNumberFormat="1" applyFont="1" applyFill="1" applyBorder="1" applyAlignment="1">
      <alignment vertical="center"/>
    </xf>
    <xf numFmtId="3" fontId="20" fillId="2" borderId="4" xfId="0" applyNumberFormat="1" applyFont="1" applyFill="1" applyBorder="1" applyAlignment="1">
      <alignment vertical="center"/>
    </xf>
    <xf numFmtId="3" fontId="20" fillId="2" borderId="6" xfId="0" applyNumberFormat="1" applyFont="1" applyFill="1" applyBorder="1" applyAlignment="1">
      <alignment vertical="center"/>
    </xf>
    <xf numFmtId="3" fontId="0" fillId="2" borderId="4" xfId="0" applyNumberFormat="1" applyFont="1" applyFill="1" applyBorder="1" applyAlignment="1">
      <alignment vertical="center"/>
    </xf>
    <xf numFmtId="3" fontId="12" fillId="2" borderId="1" xfId="0" applyNumberFormat="1" applyFont="1" applyFill="1" applyBorder="1" applyAlignment="1">
      <alignment vertical="center"/>
    </xf>
    <xf numFmtId="43" fontId="5" fillId="2" borderId="13" xfId="1" applyFont="1" applyFill="1" applyBorder="1" applyAlignment="1" applyProtection="1">
      <alignment horizontal="right" vertical="center"/>
      <protection locked="0"/>
    </xf>
    <xf numFmtId="0" fontId="0" fillId="0" borderId="0" xfId="0" applyFont="1" applyAlignment="1">
      <alignment vertical="center"/>
    </xf>
    <xf numFmtId="166" fontId="6" fillId="2" borderId="0" xfId="0" applyNumberFormat="1" applyFont="1" applyFill="1" applyBorder="1" applyAlignment="1">
      <alignment horizontal="center" vertical="center"/>
    </xf>
    <xf numFmtId="166" fontId="16" fillId="2" borderId="0" xfId="0" applyNumberFormat="1" applyFont="1" applyFill="1" applyBorder="1" applyAlignment="1">
      <alignment horizontal="center" vertical="center"/>
    </xf>
    <xf numFmtId="3" fontId="11" fillId="4" borderId="2" xfId="0" applyNumberFormat="1" applyFont="1" applyFill="1" applyBorder="1" applyAlignment="1">
      <alignment horizontal="center" vertical="center"/>
    </xf>
    <xf numFmtId="0" fontId="4" fillId="0" borderId="0" xfId="0" applyFont="1" applyBorder="1"/>
    <xf numFmtId="0" fontId="5" fillId="2" borderId="36" xfId="0" applyFont="1" applyFill="1" applyBorder="1" applyAlignment="1">
      <alignment vertical="center"/>
    </xf>
    <xf numFmtId="0" fontId="4" fillId="2" borderId="37" xfId="0" applyFont="1" applyFill="1" applyBorder="1" applyAlignment="1">
      <alignment horizontal="center" vertical="center"/>
    </xf>
    <xf numFmtId="0" fontId="5" fillId="2" borderId="37" xfId="0" applyFont="1" applyFill="1" applyBorder="1" applyAlignment="1" applyProtection="1">
      <alignment vertical="center"/>
      <protection locked="0"/>
    </xf>
    <xf numFmtId="43" fontId="5" fillId="2" borderId="37" xfId="1" applyFont="1" applyFill="1" applyBorder="1" applyAlignment="1" applyProtection="1">
      <alignment horizontal="right" vertical="center"/>
      <protection locked="0"/>
    </xf>
    <xf numFmtId="0" fontId="4" fillId="2" borderId="37" xfId="0" applyFont="1" applyFill="1" applyBorder="1" applyAlignment="1">
      <alignment vertical="center"/>
    </xf>
    <xf numFmtId="0" fontId="5" fillId="2" borderId="38" xfId="0" applyFont="1" applyFill="1" applyBorder="1" applyAlignment="1">
      <alignment vertical="center"/>
    </xf>
    <xf numFmtId="0" fontId="6" fillId="2" borderId="38" xfId="0" applyFont="1" applyFill="1" applyBorder="1" applyAlignment="1">
      <alignment vertical="center"/>
    </xf>
    <xf numFmtId="3" fontId="7" fillId="2" borderId="38" xfId="0" applyNumberFormat="1" applyFont="1" applyFill="1" applyBorder="1" applyAlignment="1">
      <alignment vertical="center"/>
    </xf>
    <xf numFmtId="3" fontId="5" fillId="2" borderId="38" xfId="0" applyNumberFormat="1" applyFont="1" applyFill="1" applyBorder="1" applyAlignment="1">
      <alignment vertical="center"/>
    </xf>
    <xf numFmtId="3" fontId="3" fillId="2" borderId="38" xfId="0" applyNumberFormat="1" applyFont="1" applyFill="1" applyBorder="1" applyAlignment="1">
      <alignment vertical="center"/>
    </xf>
    <xf numFmtId="164" fontId="13" fillId="2" borderId="38" xfId="0" applyNumberFormat="1" applyFont="1" applyFill="1" applyBorder="1" applyAlignment="1" applyProtection="1">
      <alignment horizontal="center" vertical="center"/>
      <protection locked="0"/>
    </xf>
    <xf numFmtId="0" fontId="3" fillId="2" borderId="38" xfId="0" applyFont="1" applyFill="1" applyBorder="1" applyAlignment="1">
      <alignment vertical="center"/>
    </xf>
    <xf numFmtId="0" fontId="0" fillId="2" borderId="38" xfId="0" applyFont="1" applyFill="1" applyBorder="1" applyAlignment="1">
      <alignment vertical="center"/>
    </xf>
    <xf numFmtId="3" fontId="0" fillId="2" borderId="38" xfId="0" applyNumberFormat="1" applyFont="1" applyFill="1" applyBorder="1" applyAlignment="1">
      <alignment vertical="center"/>
    </xf>
    <xf numFmtId="3" fontId="20" fillId="2" borderId="38" xfId="0" applyNumberFormat="1" applyFont="1" applyFill="1" applyBorder="1" applyAlignment="1">
      <alignment vertical="center"/>
    </xf>
    <xf numFmtId="0" fontId="4" fillId="2" borderId="38" xfId="0" applyFont="1" applyFill="1" applyBorder="1" applyAlignment="1">
      <alignment vertical="center"/>
    </xf>
    <xf numFmtId="0" fontId="5" fillId="2" borderId="40" xfId="0" applyFont="1" applyFill="1" applyBorder="1" applyAlignment="1">
      <alignment vertical="center"/>
    </xf>
    <xf numFmtId="0" fontId="4" fillId="2" borderId="41" xfId="0" applyFont="1" applyFill="1" applyBorder="1" applyAlignment="1">
      <alignment horizontal="center" vertical="center"/>
    </xf>
    <xf numFmtId="0" fontId="5" fillId="2" borderId="41" xfId="0" applyFont="1" applyFill="1" applyBorder="1" applyAlignment="1" applyProtection="1">
      <alignment vertical="center"/>
      <protection locked="0"/>
    </xf>
    <xf numFmtId="43" fontId="5" fillId="2" borderId="41" xfId="1" applyFont="1" applyFill="1" applyBorder="1" applyAlignment="1" applyProtection="1">
      <alignment horizontal="right" vertical="center"/>
      <protection locked="0"/>
    </xf>
    <xf numFmtId="0" fontId="4" fillId="2" borderId="41" xfId="0" applyFont="1" applyFill="1" applyBorder="1" applyAlignment="1">
      <alignment vertical="center"/>
    </xf>
    <xf numFmtId="0" fontId="5" fillId="2" borderId="41" xfId="0" applyFont="1" applyFill="1" applyBorder="1" applyAlignment="1" applyProtection="1">
      <alignment horizontal="left" vertical="center"/>
      <protection hidden="1"/>
    </xf>
    <xf numFmtId="43" fontId="5" fillId="2" borderId="41" xfId="1" applyFont="1" applyFill="1" applyBorder="1" applyAlignment="1" applyProtection="1">
      <alignment horizontal="right" vertical="center"/>
      <protection hidden="1"/>
    </xf>
    <xf numFmtId="0" fontId="4" fillId="4" borderId="0" xfId="0" applyFont="1" applyFill="1" applyBorder="1" applyAlignment="1">
      <alignment horizontal="center" vertical="center"/>
    </xf>
    <xf numFmtId="0" fontId="0" fillId="4" borderId="0" xfId="0" applyFill="1"/>
    <xf numFmtId="43" fontId="0" fillId="2" borderId="12" xfId="1" applyFont="1" applyFill="1" applyBorder="1" applyAlignment="1" applyProtection="1">
      <alignment horizontal="right" vertical="center"/>
      <protection locked="0"/>
    </xf>
    <xf numFmtId="3" fontId="0" fillId="2" borderId="0" xfId="1" applyNumberFormat="1" applyFont="1" applyFill="1" applyBorder="1" applyAlignment="1" applyProtection="1">
      <alignment horizontal="right" vertical="center"/>
      <protection locked="0"/>
    </xf>
    <xf numFmtId="3" fontId="0" fillId="2" borderId="38" xfId="0" applyNumberFormat="1" applyFont="1" applyFill="1" applyBorder="1" applyAlignment="1">
      <alignment vertical="center"/>
    </xf>
    <xf numFmtId="10" fontId="5" fillId="2" borderId="2" xfId="0" applyNumberFormat="1" applyFont="1" applyFill="1" applyBorder="1" applyAlignment="1" applyProtection="1">
      <alignment vertical="center"/>
      <protection locked="0"/>
    </xf>
    <xf numFmtId="0" fontId="10" fillId="2" borderId="1" xfId="0" applyFont="1" applyFill="1" applyBorder="1" applyAlignment="1">
      <alignment horizontal="left" vertical="center"/>
    </xf>
    <xf numFmtId="3" fontId="0" fillId="2" borderId="38" xfId="0" applyNumberFormat="1" applyFont="1" applyFill="1" applyBorder="1" applyAlignment="1">
      <alignment vertical="center"/>
    </xf>
    <xf numFmtId="0" fontId="0" fillId="4" borderId="3" xfId="0" applyFont="1" applyFill="1" applyBorder="1" applyAlignment="1">
      <alignment horizontal="right" vertical="center"/>
    </xf>
    <xf numFmtId="3" fontId="0" fillId="2" borderId="3" xfId="0" applyNumberFormat="1" applyFont="1" applyFill="1" applyBorder="1" applyAlignment="1">
      <alignment vertical="center"/>
    </xf>
    <xf numFmtId="3" fontId="0" fillId="2" borderId="38" xfId="0" applyNumberFormat="1" applyFont="1" applyFill="1" applyBorder="1" applyAlignment="1">
      <alignment vertical="center"/>
    </xf>
    <xf numFmtId="4" fontId="5" fillId="2" borderId="0" xfId="0" applyNumberFormat="1" applyFont="1" applyFill="1" applyBorder="1" applyAlignment="1" applyProtection="1">
      <alignment horizontal="right" vertical="center"/>
      <protection locked="0"/>
    </xf>
    <xf numFmtId="4" fontId="5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4" fontId="5" fillId="2" borderId="2" xfId="0" applyNumberFormat="1" applyFont="1" applyFill="1" applyBorder="1" applyAlignment="1" applyProtection="1">
      <alignment horizontal="right" vertical="center"/>
      <protection locked="0"/>
    </xf>
    <xf numFmtId="3" fontId="5" fillId="2" borderId="1" xfId="0" applyNumberFormat="1" applyFont="1" applyFill="1" applyBorder="1" applyAlignment="1">
      <alignment vertical="center"/>
    </xf>
    <xf numFmtId="0" fontId="5" fillId="2" borderId="2" xfId="0" applyNumberFormat="1" applyFont="1" applyFill="1" applyBorder="1" applyAlignment="1" applyProtection="1">
      <alignment vertical="center"/>
      <protection locked="0"/>
    </xf>
    <xf numFmtId="3" fontId="5" fillId="4" borderId="2" xfId="0" applyNumberFormat="1" applyFont="1" applyFill="1" applyBorder="1" applyAlignment="1" applyProtection="1">
      <alignment horizontal="right" vertical="center"/>
      <protection locked="0"/>
    </xf>
    <xf numFmtId="3" fontId="5" fillId="4" borderId="2" xfId="0" applyNumberFormat="1" applyFont="1" applyFill="1" applyBorder="1" applyAlignment="1" applyProtection="1">
      <alignment vertical="center"/>
      <protection locked="0"/>
    </xf>
    <xf numFmtId="3" fontId="5" fillId="2" borderId="3" xfId="0" applyNumberFormat="1" applyFont="1" applyFill="1" applyBorder="1" applyAlignment="1">
      <alignment vertical="center"/>
    </xf>
    <xf numFmtId="3" fontId="5" fillId="2" borderId="2" xfId="0" applyNumberFormat="1" applyFont="1" applyFill="1" applyBorder="1" applyAlignment="1">
      <alignment vertical="center"/>
    </xf>
    <xf numFmtId="10" fontId="5" fillId="2" borderId="0" xfId="0" applyNumberFormat="1" applyFont="1" applyFill="1" applyBorder="1" applyAlignment="1" applyProtection="1">
      <alignment vertical="center"/>
      <protection locked="0"/>
    </xf>
    <xf numFmtId="3" fontId="5" fillId="2" borderId="7" xfId="0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vertical="center"/>
    </xf>
    <xf numFmtId="1" fontId="5" fillId="2" borderId="0" xfId="1" applyNumberFormat="1" applyFont="1" applyFill="1" applyBorder="1" applyAlignment="1" applyProtection="1">
      <alignment horizontal="right" vertical="center"/>
      <protection locked="0"/>
    </xf>
    <xf numFmtId="0" fontId="4" fillId="2" borderId="14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4" fillId="2" borderId="2" xfId="0" applyFont="1" applyFill="1" applyBorder="1" applyAlignment="1" applyProtection="1">
      <alignment horizontal="left" vertical="center"/>
      <protection locked="0"/>
    </xf>
    <xf numFmtId="0" fontId="4" fillId="2" borderId="9" xfId="0" applyFont="1" applyFill="1" applyBorder="1" applyAlignment="1" applyProtection="1">
      <alignment horizontal="left" vertical="center"/>
      <protection locked="0"/>
    </xf>
    <xf numFmtId="0" fontId="4" fillId="2" borderId="13" xfId="0" applyFont="1" applyFill="1" applyBorder="1" applyAlignment="1" applyProtection="1">
      <alignment horizontal="left" vertical="center"/>
      <protection locked="0"/>
    </xf>
    <xf numFmtId="0" fontId="4" fillId="0" borderId="4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vertical="center"/>
      <protection locked="0"/>
    </xf>
    <xf numFmtId="0" fontId="4" fillId="4" borderId="9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13" xfId="0" applyFont="1" applyFill="1" applyBorder="1" applyAlignment="1">
      <alignment horizontal="left" vertical="center"/>
    </xf>
    <xf numFmtId="3" fontId="20" fillId="2" borderId="38" xfId="0" applyNumberFormat="1" applyFont="1" applyFill="1" applyBorder="1" applyAlignment="1">
      <alignment vertical="center"/>
    </xf>
    <xf numFmtId="0" fontId="22" fillId="2" borderId="0" xfId="0" applyFont="1" applyFill="1" applyBorder="1" applyAlignment="1">
      <alignment horizontal="center" vertical="center"/>
    </xf>
    <xf numFmtId="0" fontId="5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0" fontId="6" fillId="5" borderId="0" xfId="0" applyFont="1" applyFill="1" applyAlignment="1">
      <alignment vertical="center"/>
    </xf>
    <xf numFmtId="0" fontId="7" fillId="5" borderId="0" xfId="0" applyFont="1" applyFill="1" applyAlignment="1">
      <alignment vertical="center"/>
    </xf>
    <xf numFmtId="0" fontId="3" fillId="5" borderId="0" xfId="0" applyFont="1" applyFill="1" applyAlignment="1">
      <alignment vertical="center"/>
    </xf>
    <xf numFmtId="0" fontId="5" fillId="5" borderId="0" xfId="0" applyFont="1" applyFill="1" applyBorder="1" applyAlignment="1">
      <alignment vertical="center"/>
    </xf>
    <xf numFmtId="0" fontId="0" fillId="5" borderId="0" xfId="0" applyFont="1" applyFill="1" applyAlignment="1">
      <alignment vertical="center"/>
    </xf>
    <xf numFmtId="0" fontId="20" fillId="5" borderId="0" xfId="0" applyFont="1" applyFill="1" applyAlignment="1">
      <alignment vertical="center"/>
    </xf>
    <xf numFmtId="0" fontId="4" fillId="5" borderId="0" xfId="0" applyFont="1" applyFill="1" applyAlignment="1">
      <alignment horizontal="center" vertical="center"/>
    </xf>
    <xf numFmtId="0" fontId="5" fillId="5" borderId="0" xfId="0" applyFont="1" applyFill="1" applyBorder="1" applyAlignment="1" applyProtection="1">
      <alignment vertical="center"/>
      <protection locked="0"/>
    </xf>
    <xf numFmtId="43" fontId="5" fillId="5" borderId="0" xfId="1" applyFont="1" applyFill="1" applyBorder="1" applyAlignment="1" applyProtection="1">
      <alignment horizontal="right" vertical="center"/>
      <protection locked="0"/>
    </xf>
    <xf numFmtId="0" fontId="4" fillId="5" borderId="0" xfId="0" applyFont="1" applyFill="1" applyAlignment="1">
      <alignment vertical="center"/>
    </xf>
    <xf numFmtId="3" fontId="3" fillId="2" borderId="38" xfId="0" applyNumberFormat="1" applyFont="1" applyFill="1" applyBorder="1" applyAlignment="1">
      <alignment vertical="center"/>
    </xf>
    <xf numFmtId="0" fontId="3" fillId="4" borderId="0" xfId="0" applyFont="1" applyFill="1" applyBorder="1" applyAlignment="1" applyProtection="1">
      <alignment horizontal="center" vertical="center"/>
      <protection locked="0"/>
    </xf>
    <xf numFmtId="3" fontId="3" fillId="4" borderId="0" xfId="0" applyNumberFormat="1" applyFont="1" applyFill="1" applyBorder="1" applyAlignment="1" applyProtection="1">
      <alignment horizontal="right" vertical="center"/>
      <protection hidden="1"/>
    </xf>
    <xf numFmtId="43" fontId="0" fillId="2" borderId="14" xfId="1" applyFont="1" applyFill="1" applyBorder="1" applyAlignment="1" applyProtection="1">
      <alignment horizontal="right" vertical="center"/>
      <protection locked="0"/>
    </xf>
    <xf numFmtId="3" fontId="5" fillId="0" borderId="0" xfId="0" applyNumberFormat="1" applyFont="1" applyAlignment="1">
      <alignment vertical="center"/>
    </xf>
    <xf numFmtId="0" fontId="10" fillId="6" borderId="2" xfId="0" applyFont="1" applyFill="1" applyBorder="1" applyAlignment="1">
      <alignment horizontal="right" vertical="center"/>
    </xf>
    <xf numFmtId="3" fontId="12" fillId="6" borderId="10" xfId="0" applyNumberFormat="1" applyFont="1" applyFill="1" applyBorder="1" applyAlignment="1">
      <alignment vertical="center"/>
    </xf>
    <xf numFmtId="3" fontId="0" fillId="6" borderId="2" xfId="0" applyNumberFormat="1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 applyProtection="1">
      <alignment horizontal="center" vertical="center"/>
      <protection locked="0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vertical="center"/>
    </xf>
    <xf numFmtId="43" fontId="7" fillId="7" borderId="10" xfId="1" applyFont="1" applyFill="1" applyBorder="1" applyAlignment="1" applyProtection="1">
      <alignment horizontal="right" vertical="center"/>
      <protection hidden="1"/>
    </xf>
    <xf numFmtId="0" fontId="7" fillId="7" borderId="10" xfId="0" applyFont="1" applyFill="1" applyBorder="1" applyAlignment="1" applyProtection="1">
      <alignment vertical="center"/>
      <protection hidden="1"/>
    </xf>
    <xf numFmtId="164" fontId="15" fillId="7" borderId="22" xfId="0" applyNumberFormat="1" applyFont="1" applyFill="1" applyBorder="1" applyAlignment="1" applyProtection="1">
      <alignment horizontal="center" vertical="center"/>
      <protection locked="0"/>
    </xf>
    <xf numFmtId="0" fontId="3" fillId="7" borderId="2" xfId="0" applyFont="1" applyFill="1" applyBorder="1" applyAlignment="1" applyProtection="1">
      <alignment horizontal="left" vertical="center"/>
      <protection locked="0"/>
    </xf>
    <xf numFmtId="4" fontId="6" fillId="5" borderId="23" xfId="0" applyNumberFormat="1" applyFont="1" applyFill="1" applyBorder="1" applyAlignment="1" applyProtection="1">
      <alignment horizontal="center" vertical="center"/>
      <protection hidden="1"/>
    </xf>
    <xf numFmtId="4" fontId="6" fillId="5" borderId="24" xfId="0" applyNumberFormat="1" applyFont="1" applyFill="1" applyBorder="1" applyAlignment="1" applyProtection="1">
      <alignment horizontal="center" vertical="center"/>
      <protection hidden="1"/>
    </xf>
    <xf numFmtId="4" fontId="6" fillId="8" borderId="22" xfId="0" applyNumberFormat="1" applyFont="1" applyFill="1" applyBorder="1" applyAlignment="1" applyProtection="1">
      <alignment horizontal="center" vertical="center"/>
      <protection hidden="1"/>
    </xf>
    <xf numFmtId="43" fontId="15" fillId="5" borderId="27" xfId="1" applyFont="1" applyFill="1" applyBorder="1" applyAlignment="1" applyProtection="1">
      <alignment horizontal="center" vertical="center"/>
      <protection locked="0"/>
    </xf>
    <xf numFmtId="43" fontId="15" fillId="5" borderId="28" xfId="1" applyFont="1" applyFill="1" applyBorder="1" applyAlignment="1" applyProtection="1">
      <alignment horizontal="center" vertical="center"/>
      <protection locked="0"/>
    </xf>
    <xf numFmtId="164" fontId="15" fillId="5" borderId="29" xfId="0" applyNumberFormat="1" applyFont="1" applyFill="1" applyBorder="1" applyAlignment="1" applyProtection="1">
      <alignment horizontal="center" vertical="center"/>
      <protection locked="0"/>
    </xf>
    <xf numFmtId="4" fontId="3" fillId="8" borderId="2" xfId="0" applyNumberFormat="1" applyFont="1" applyFill="1" applyBorder="1" applyAlignment="1" applyProtection="1">
      <alignment horizontal="center" vertical="center"/>
      <protection hidden="1"/>
    </xf>
    <xf numFmtId="43" fontId="3" fillId="5" borderId="2" xfId="1" applyFont="1" applyFill="1" applyBorder="1" applyAlignment="1" applyProtection="1">
      <alignment horizontal="right" vertical="center"/>
      <protection hidden="1"/>
    </xf>
    <xf numFmtId="0" fontId="3" fillId="5" borderId="2" xfId="0" applyFont="1" applyFill="1" applyBorder="1" applyAlignment="1" applyProtection="1">
      <alignment horizontal="center" vertical="center"/>
      <protection hidden="1"/>
    </xf>
    <xf numFmtId="0" fontId="3" fillId="5" borderId="4" xfId="0" applyFont="1" applyFill="1" applyBorder="1" applyAlignment="1" applyProtection="1">
      <alignment horizontal="center" vertical="center"/>
      <protection locked="0"/>
    </xf>
    <xf numFmtId="4" fontId="3" fillId="5" borderId="2" xfId="0" applyNumberFormat="1" applyFont="1" applyFill="1" applyBorder="1" applyAlignment="1" applyProtection="1">
      <alignment horizontal="center" vertical="center"/>
      <protection hidden="1"/>
    </xf>
    <xf numFmtId="3" fontId="3" fillId="5" borderId="30" xfId="0" applyNumberFormat="1" applyFont="1" applyFill="1" applyBorder="1" applyAlignment="1" applyProtection="1">
      <alignment horizontal="right" vertical="center"/>
      <protection hidden="1"/>
    </xf>
    <xf numFmtId="3" fontId="3" fillId="8" borderId="30" xfId="0" applyNumberFormat="1" applyFont="1" applyFill="1" applyBorder="1" applyAlignment="1" applyProtection="1">
      <alignment horizontal="right" vertical="center"/>
      <protection hidden="1"/>
    </xf>
    <xf numFmtId="0" fontId="3" fillId="9" borderId="2" xfId="0" applyFont="1" applyFill="1" applyBorder="1" applyAlignment="1">
      <alignment horizontal="center" vertical="center"/>
    </xf>
    <xf numFmtId="0" fontId="3" fillId="5" borderId="4" xfId="0" applyFont="1" applyFill="1" applyBorder="1" applyAlignment="1" applyProtection="1">
      <alignment horizontal="center" vertical="center"/>
      <protection locked="0"/>
    </xf>
    <xf numFmtId="43" fontId="0" fillId="10" borderId="2" xfId="0" applyNumberFormat="1" applyFill="1" applyBorder="1" applyAlignment="1" applyProtection="1">
      <alignment horizontal="right" vertical="center"/>
      <protection locked="0"/>
    </xf>
    <xf numFmtId="43" fontId="0" fillId="10" borderId="3" xfId="0" applyNumberFormat="1" applyFill="1" applyBorder="1" applyAlignment="1" applyProtection="1">
      <alignment horizontal="right" vertical="center"/>
      <protection locked="0"/>
    </xf>
    <xf numFmtId="2" fontId="0" fillId="10" borderId="3" xfId="0" applyNumberFormat="1" applyFill="1" applyBorder="1" applyAlignment="1" applyProtection="1">
      <alignment horizontal="right" vertical="center"/>
      <protection locked="0"/>
    </xf>
    <xf numFmtId="1" fontId="0" fillId="10" borderId="3" xfId="0" applyNumberFormat="1" applyFill="1" applyBorder="1" applyAlignment="1" applyProtection="1">
      <alignment horizontal="right" vertical="center"/>
      <protection locked="0"/>
    </xf>
    <xf numFmtId="3" fontId="5" fillId="2" borderId="38" xfId="0" applyNumberFormat="1" applyFont="1" applyFill="1" applyBorder="1" applyAlignment="1">
      <alignment vertical="center"/>
    </xf>
    <xf numFmtId="3" fontId="11" fillId="10" borderId="0" xfId="0" applyNumberFormat="1" applyFont="1" applyFill="1" applyBorder="1" applyAlignment="1" applyProtection="1">
      <alignment horizontal="center" vertical="center"/>
      <protection locked="0"/>
    </xf>
    <xf numFmtId="3" fontId="0" fillId="2" borderId="38" xfId="0" applyNumberFormat="1" applyFont="1" applyFill="1" applyBorder="1" applyAlignment="1">
      <alignment vertical="center"/>
    </xf>
    <xf numFmtId="0" fontId="17" fillId="2" borderId="0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3" fontId="3" fillId="2" borderId="38" xfId="0" applyNumberFormat="1" applyFont="1" applyFill="1" applyBorder="1" applyAlignment="1">
      <alignment vertical="center"/>
    </xf>
    <xf numFmtId="3" fontId="11" fillId="4" borderId="0" xfId="0" applyNumberFormat="1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vertical="center"/>
    </xf>
    <xf numFmtId="0" fontId="4" fillId="2" borderId="0" xfId="0" applyFont="1" applyFill="1" applyBorder="1" applyAlignment="1" applyProtection="1">
      <alignment horizontal="left" vertical="center"/>
      <protection locked="0"/>
    </xf>
    <xf numFmtId="1" fontId="0" fillId="2" borderId="0" xfId="1" applyNumberFormat="1" applyFont="1" applyFill="1" applyBorder="1" applyAlignment="1" applyProtection="1">
      <alignment horizontal="right" vertical="center"/>
      <protection locked="0"/>
    </xf>
    <xf numFmtId="3" fontId="3" fillId="8" borderId="3" xfId="0" applyNumberFormat="1" applyFont="1" applyFill="1" applyBorder="1" applyAlignment="1" applyProtection="1">
      <alignment horizontal="right" vertical="center"/>
      <protection hidden="1"/>
    </xf>
    <xf numFmtId="3" fontId="3" fillId="5" borderId="3" xfId="0" applyNumberFormat="1" applyFont="1" applyFill="1" applyBorder="1" applyAlignment="1" applyProtection="1">
      <alignment horizontal="right" vertical="center"/>
      <protection hidden="1"/>
    </xf>
    <xf numFmtId="0" fontId="0" fillId="2" borderId="38" xfId="0" applyFont="1" applyFill="1" applyBorder="1" applyAlignment="1">
      <alignment vertical="center"/>
    </xf>
    <xf numFmtId="3" fontId="0" fillId="2" borderId="0" xfId="0" applyNumberFormat="1" applyFont="1" applyFill="1" applyBorder="1" applyAlignment="1">
      <alignment vertical="center"/>
    </xf>
    <xf numFmtId="0" fontId="0" fillId="2" borderId="1" xfId="0" applyFont="1" applyFill="1" applyBorder="1" applyAlignment="1" applyProtection="1">
      <alignment horizontal="left" vertical="center"/>
      <protection locked="0"/>
    </xf>
    <xf numFmtId="2" fontId="5" fillId="0" borderId="9" xfId="0" applyNumberFormat="1" applyFont="1" applyFill="1" applyBorder="1" applyAlignment="1" applyProtection="1">
      <alignment vertical="center"/>
      <protection locked="0"/>
    </xf>
    <xf numFmtId="3" fontId="5" fillId="2" borderId="9" xfId="0" applyNumberFormat="1" applyFont="1" applyFill="1" applyBorder="1" applyAlignment="1">
      <alignment vertical="center"/>
    </xf>
    <xf numFmtId="3" fontId="0" fillId="2" borderId="9" xfId="0" applyNumberFormat="1" applyFont="1" applyFill="1" applyBorder="1" applyAlignment="1">
      <alignment vertical="center"/>
    </xf>
    <xf numFmtId="0" fontId="0" fillId="2" borderId="2" xfId="0" applyFont="1" applyFill="1" applyBorder="1" applyAlignment="1" applyProtection="1">
      <alignment horizontal="right" vertical="center"/>
      <protection locked="0"/>
    </xf>
    <xf numFmtId="0" fontId="3" fillId="0" borderId="15" xfId="0" applyFont="1" applyFill="1" applyBorder="1" applyAlignment="1" applyProtection="1">
      <alignment horizontal="center" vertical="center"/>
      <protection locked="0"/>
    </xf>
    <xf numFmtId="3" fontId="3" fillId="0" borderId="15" xfId="0" applyNumberFormat="1" applyFont="1" applyFill="1" applyBorder="1" applyAlignment="1" applyProtection="1">
      <alignment horizontal="right" vertical="center"/>
      <protection hidden="1"/>
    </xf>
    <xf numFmtId="3" fontId="3" fillId="8" borderId="2" xfId="0" applyNumberFormat="1" applyFont="1" applyFill="1" applyBorder="1" applyAlignment="1" applyProtection="1">
      <alignment horizontal="right" vertical="center"/>
      <protection hidden="1"/>
    </xf>
    <xf numFmtId="3" fontId="3" fillId="5" borderId="2" xfId="0" applyNumberFormat="1" applyFont="1" applyFill="1" applyBorder="1" applyAlignment="1" applyProtection="1">
      <alignment horizontal="right" vertical="center"/>
      <protection hidden="1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21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 applyProtection="1">
      <alignment horizontal="right" vertical="center"/>
      <protection hidden="1"/>
    </xf>
    <xf numFmtId="0" fontId="11" fillId="4" borderId="9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vertical="center"/>
    </xf>
    <xf numFmtId="0" fontId="11" fillId="0" borderId="11" xfId="0" applyFont="1" applyFill="1" applyBorder="1" applyAlignment="1">
      <alignment horizontal="center" vertical="center"/>
    </xf>
    <xf numFmtId="9" fontId="0" fillId="2" borderId="2" xfId="1" applyNumberFormat="1" applyFont="1" applyFill="1" applyBorder="1" applyAlignment="1" applyProtection="1">
      <alignment horizontal="right" vertical="center"/>
      <protection locked="0"/>
    </xf>
    <xf numFmtId="0" fontId="5" fillId="5" borderId="39" xfId="0" applyFont="1" applyFill="1" applyBorder="1" applyAlignment="1">
      <alignment vertical="center"/>
    </xf>
    <xf numFmtId="3" fontId="3" fillId="4" borderId="0" xfId="0" applyNumberFormat="1" applyFont="1" applyFill="1" applyBorder="1" applyAlignment="1">
      <alignment vertical="center"/>
    </xf>
    <xf numFmtId="0" fontId="11" fillId="4" borderId="15" xfId="0" applyFont="1" applyFill="1" applyBorder="1" applyAlignment="1">
      <alignment horizontal="center" vertical="center"/>
    </xf>
    <xf numFmtId="0" fontId="21" fillId="4" borderId="0" xfId="0" applyFont="1" applyFill="1" applyBorder="1" applyAlignment="1">
      <alignment vertical="center"/>
    </xf>
    <xf numFmtId="0" fontId="7" fillId="4" borderId="0" xfId="0" applyFont="1" applyFill="1" applyBorder="1" applyAlignment="1">
      <alignment horizontal="right" vertical="center"/>
    </xf>
    <xf numFmtId="0" fontId="0" fillId="2" borderId="41" xfId="0" applyFont="1" applyFill="1" applyBorder="1" applyAlignment="1" applyProtection="1">
      <alignment vertical="center"/>
      <protection locked="0"/>
    </xf>
    <xf numFmtId="10" fontId="0" fillId="2" borderId="2" xfId="1" applyNumberFormat="1" applyFont="1" applyFill="1" applyBorder="1" applyAlignment="1" applyProtection="1">
      <alignment horizontal="right" vertical="center"/>
      <protection locked="0"/>
    </xf>
    <xf numFmtId="0" fontId="3" fillId="5" borderId="4" xfId="0" applyFont="1" applyFill="1" applyBorder="1" applyAlignment="1" applyProtection="1">
      <alignment horizontal="center" vertical="center"/>
      <protection locked="0"/>
    </xf>
    <xf numFmtId="3" fontId="0" fillId="2" borderId="38" xfId="0" applyNumberFormat="1" applyFont="1" applyFill="1" applyBorder="1" applyAlignment="1">
      <alignment vertical="center"/>
    </xf>
    <xf numFmtId="3" fontId="3" fillId="2" borderId="38" xfId="0" applyNumberFormat="1" applyFont="1" applyFill="1" applyBorder="1" applyAlignment="1">
      <alignment vertical="center"/>
    </xf>
    <xf numFmtId="3" fontId="3" fillId="4" borderId="10" xfId="0" applyNumberFormat="1" applyFont="1" applyFill="1" applyBorder="1" applyAlignment="1" applyProtection="1">
      <alignment horizontal="right" vertical="center"/>
      <protection hidden="1"/>
    </xf>
    <xf numFmtId="4" fontId="5" fillId="4" borderId="15" xfId="0" applyNumberFormat="1" applyFont="1" applyFill="1" applyBorder="1" applyAlignment="1" applyProtection="1">
      <alignment horizontal="right" vertical="center"/>
      <protection locked="0"/>
    </xf>
    <xf numFmtId="3" fontId="5" fillId="4" borderId="15" xfId="0" applyNumberFormat="1" applyFont="1" applyFill="1" applyBorder="1" applyAlignment="1" applyProtection="1">
      <alignment vertical="center"/>
      <protection locked="0"/>
    </xf>
    <xf numFmtId="4" fontId="5" fillId="4" borderId="15" xfId="0" applyNumberFormat="1" applyFont="1" applyFill="1" applyBorder="1" applyAlignment="1" applyProtection="1">
      <alignment vertical="center"/>
      <protection locked="0"/>
    </xf>
    <xf numFmtId="0" fontId="5" fillId="4" borderId="15" xfId="0" applyFont="1" applyFill="1" applyBorder="1" applyAlignment="1">
      <alignment vertical="center"/>
    </xf>
    <xf numFmtId="0" fontId="0" fillId="4" borderId="15" xfId="0" applyFont="1" applyFill="1" applyBorder="1" applyAlignment="1">
      <alignment vertical="center"/>
    </xf>
    <xf numFmtId="43" fontId="5" fillId="2" borderId="14" xfId="1" applyFont="1" applyFill="1" applyBorder="1" applyAlignment="1" applyProtection="1">
      <alignment horizontal="right" vertical="center"/>
      <protection locked="0"/>
    </xf>
    <xf numFmtId="0" fontId="0" fillId="5" borderId="0" xfId="0" applyFont="1" applyFill="1" applyAlignment="1">
      <alignment vertical="center"/>
    </xf>
    <xf numFmtId="0" fontId="14" fillId="11" borderId="9" xfId="0" applyFont="1" applyFill="1" applyBorder="1" applyAlignment="1" applyProtection="1">
      <alignment horizontal="left" vertical="center"/>
      <protection locked="0"/>
    </xf>
    <xf numFmtId="4" fontId="0" fillId="2" borderId="1" xfId="0" applyNumberFormat="1" applyFont="1" applyFill="1" applyBorder="1" applyAlignment="1" applyProtection="1">
      <alignment vertical="center"/>
      <protection locked="0"/>
    </xf>
    <xf numFmtId="3" fontId="11" fillId="4" borderId="10" xfId="0" applyNumberFormat="1" applyFont="1" applyFill="1" applyBorder="1" applyAlignment="1">
      <alignment horizontal="center" vertical="center"/>
    </xf>
    <xf numFmtId="0" fontId="0" fillId="2" borderId="4" xfId="0" applyFont="1" applyFill="1" applyBorder="1" applyAlignment="1" applyProtection="1">
      <alignment horizontal="left" vertical="center"/>
      <protection locked="0"/>
    </xf>
    <xf numFmtId="3" fontId="7" fillId="2" borderId="38" xfId="0" applyNumberFormat="1" applyFont="1" applyFill="1" applyBorder="1" applyAlignment="1">
      <alignment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vertical="center"/>
    </xf>
    <xf numFmtId="43" fontId="7" fillId="4" borderId="10" xfId="1" applyFont="1" applyFill="1" applyBorder="1" applyAlignment="1" applyProtection="1">
      <alignment horizontal="right"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4" fillId="0" borderId="9" xfId="0" applyFont="1" applyFill="1" applyBorder="1" applyAlignment="1" applyProtection="1">
      <alignment horizontal="left" vertical="center"/>
      <protection locked="0"/>
    </xf>
    <xf numFmtId="1" fontId="5" fillId="2" borderId="2" xfId="0" applyNumberFormat="1" applyFont="1" applyFill="1" applyBorder="1" applyAlignment="1" applyProtection="1">
      <alignment vertical="center"/>
      <protection locked="0"/>
    </xf>
    <xf numFmtId="0" fontId="3" fillId="4" borderId="10" xfId="0" applyFont="1" applyFill="1" applyBorder="1" applyAlignment="1" applyProtection="1">
      <alignment horizontal="center" vertical="center"/>
      <protection locked="0"/>
    </xf>
    <xf numFmtId="0" fontId="3" fillId="5" borderId="3" xfId="0" applyFont="1" applyFill="1" applyBorder="1" applyAlignment="1" applyProtection="1">
      <alignment horizontal="center" vertical="center"/>
      <protection hidden="1"/>
    </xf>
    <xf numFmtId="43" fontId="5" fillId="4" borderId="15" xfId="1" applyFont="1" applyFill="1" applyBorder="1" applyAlignment="1" applyProtection="1">
      <alignment horizontal="right" vertical="center"/>
      <protection locked="0"/>
    </xf>
    <xf numFmtId="0" fontId="3" fillId="4" borderId="15" xfId="0" applyFont="1" applyFill="1" applyBorder="1" applyAlignment="1" applyProtection="1">
      <alignment horizontal="center" vertical="center"/>
      <protection locked="0"/>
    </xf>
    <xf numFmtId="3" fontId="3" fillId="4" borderId="15" xfId="0" applyNumberFormat="1" applyFont="1" applyFill="1" applyBorder="1" applyAlignment="1" applyProtection="1">
      <alignment horizontal="right" vertical="center"/>
      <protection hidden="1"/>
    </xf>
    <xf numFmtId="3" fontId="5" fillId="2" borderId="38" xfId="0" applyNumberFormat="1" applyFont="1" applyFill="1" applyBorder="1" applyAlignment="1">
      <alignment vertical="center"/>
    </xf>
    <xf numFmtId="3" fontId="0" fillId="2" borderId="38" xfId="0" applyNumberFormat="1" applyFont="1" applyFill="1" applyBorder="1" applyAlignment="1">
      <alignment vertical="center"/>
    </xf>
    <xf numFmtId="0" fontId="0" fillId="2" borderId="14" xfId="0" applyFont="1" applyFill="1" applyBorder="1" applyAlignment="1" applyProtection="1">
      <alignment horizontal="left" vertical="center"/>
      <protection locked="0"/>
    </xf>
    <xf numFmtId="0" fontId="7" fillId="0" borderId="31" xfId="0" applyFont="1" applyBorder="1" applyAlignment="1">
      <alignment horizontal="center" vertical="center"/>
    </xf>
    <xf numFmtId="0" fontId="0" fillId="4" borderId="1" xfId="0" applyFont="1" applyFill="1" applyBorder="1" applyAlignment="1" applyProtection="1">
      <alignment horizontal="right" vertical="center"/>
      <protection locked="0"/>
    </xf>
    <xf numFmtId="0" fontId="4" fillId="4" borderId="13" xfId="0" applyFont="1" applyFill="1" applyBorder="1" applyAlignment="1" applyProtection="1">
      <alignment horizontal="left" vertical="center"/>
      <protection locked="0"/>
    </xf>
    <xf numFmtId="0" fontId="4" fillId="4" borderId="13" xfId="0" applyFont="1" applyFill="1" applyBorder="1" applyAlignment="1">
      <alignment horizontal="left" vertical="center"/>
    </xf>
    <xf numFmtId="1" fontId="5" fillId="4" borderId="2" xfId="1" applyNumberFormat="1" applyFont="1" applyFill="1" applyBorder="1" applyAlignment="1" applyProtection="1">
      <alignment horizontal="right" vertical="center"/>
      <protection locked="0"/>
    </xf>
    <xf numFmtId="3" fontId="5" fillId="4" borderId="0" xfId="0" applyNumberFormat="1" applyFont="1" applyFill="1" applyBorder="1" applyAlignment="1" applyProtection="1">
      <alignment horizontal="right" vertical="center"/>
      <protection locked="0"/>
    </xf>
    <xf numFmtId="4" fontId="5" fillId="4" borderId="2" xfId="0" applyNumberFormat="1" applyFont="1" applyFill="1" applyBorder="1" applyAlignment="1" applyProtection="1">
      <alignment horizontal="right" vertical="center"/>
      <protection locked="0"/>
    </xf>
    <xf numFmtId="10" fontId="0" fillId="4" borderId="2" xfId="0" applyNumberFormat="1" applyFont="1" applyFill="1" applyBorder="1" applyAlignment="1" applyProtection="1">
      <alignment vertical="center"/>
      <protection locked="0"/>
    </xf>
    <xf numFmtId="4" fontId="0" fillId="4" borderId="2" xfId="0" applyNumberFormat="1" applyFont="1" applyFill="1" applyBorder="1" applyAlignment="1" applyProtection="1">
      <alignment horizontal="right" vertical="center"/>
      <protection locked="0"/>
    </xf>
    <xf numFmtId="1" fontId="5" fillId="4" borderId="2" xfId="0" applyNumberFormat="1" applyFont="1" applyFill="1" applyBorder="1" applyAlignment="1" applyProtection="1">
      <alignment vertical="center"/>
      <protection locked="0"/>
    </xf>
    <xf numFmtId="43" fontId="5" fillId="4" borderId="0" xfId="1" applyFont="1" applyFill="1" applyBorder="1" applyAlignment="1" applyProtection="1">
      <alignment horizontal="right" vertical="center"/>
      <protection locked="0"/>
    </xf>
    <xf numFmtId="4" fontId="5" fillId="4" borderId="0" xfId="0" applyNumberFormat="1" applyFont="1" applyFill="1" applyBorder="1" applyAlignment="1" applyProtection="1">
      <alignment horizontal="right" vertical="center"/>
      <protection locked="0"/>
    </xf>
    <xf numFmtId="10" fontId="5" fillId="4" borderId="0" xfId="0" applyNumberFormat="1" applyFont="1" applyFill="1" applyBorder="1" applyAlignment="1" applyProtection="1">
      <alignment vertical="center"/>
      <protection locked="0"/>
    </xf>
    <xf numFmtId="3" fontId="5" fillId="4" borderId="1" xfId="0" applyNumberFormat="1" applyFont="1" applyFill="1" applyBorder="1" applyAlignment="1" applyProtection="1">
      <alignment vertical="center"/>
      <protection locked="0"/>
    </xf>
    <xf numFmtId="43" fontId="5" fillId="4" borderId="2" xfId="1" applyFont="1" applyFill="1" applyBorder="1" applyAlignment="1" applyProtection="1">
      <alignment horizontal="right" vertical="center"/>
      <protection locked="0"/>
    </xf>
    <xf numFmtId="0" fontId="5" fillId="4" borderId="0" xfId="0" applyFont="1" applyFill="1" applyAlignment="1">
      <alignment vertical="center"/>
    </xf>
    <xf numFmtId="4" fontId="5" fillId="4" borderId="1" xfId="0" applyNumberFormat="1" applyFont="1" applyFill="1" applyBorder="1" applyAlignment="1" applyProtection="1">
      <alignment vertical="center"/>
      <protection locked="0"/>
    </xf>
    <xf numFmtId="43" fontId="0" fillId="4" borderId="2" xfId="1" applyFont="1" applyFill="1" applyBorder="1" applyAlignment="1" applyProtection="1">
      <alignment horizontal="right" vertical="center"/>
      <protection locked="0"/>
    </xf>
    <xf numFmtId="4" fontId="5" fillId="4" borderId="2" xfId="0" applyNumberFormat="1" applyFont="1" applyFill="1" applyBorder="1" applyAlignment="1" applyProtection="1">
      <alignment vertical="center"/>
      <protection locked="0"/>
    </xf>
    <xf numFmtId="0" fontId="5" fillId="4" borderId="2" xfId="0" applyNumberFormat="1" applyFont="1" applyFill="1" applyBorder="1" applyAlignment="1" applyProtection="1">
      <alignment vertical="center"/>
      <protection locked="0"/>
    </xf>
    <xf numFmtId="2" fontId="5" fillId="4" borderId="2" xfId="1" applyNumberFormat="1" applyFont="1" applyFill="1" applyBorder="1" applyAlignment="1" applyProtection="1">
      <alignment horizontal="right" vertical="center"/>
      <protection locked="0"/>
    </xf>
    <xf numFmtId="10" fontId="5" fillId="4" borderId="2" xfId="0" applyNumberFormat="1" applyFont="1" applyFill="1" applyBorder="1" applyAlignment="1" applyProtection="1">
      <alignment vertical="center"/>
      <protection locked="0"/>
    </xf>
    <xf numFmtId="1" fontId="5" fillId="4" borderId="0" xfId="1" applyNumberFormat="1" applyFont="1" applyFill="1" applyBorder="1" applyAlignment="1" applyProtection="1">
      <alignment horizontal="right" vertical="center"/>
      <protection locked="0"/>
    </xf>
    <xf numFmtId="3" fontId="5" fillId="4" borderId="7" xfId="0" applyNumberFormat="1" applyFont="1" applyFill="1" applyBorder="1" applyAlignment="1">
      <alignment vertical="center"/>
    </xf>
    <xf numFmtId="3" fontId="5" fillId="4" borderId="1" xfId="0" applyNumberFormat="1" applyFont="1" applyFill="1" applyBorder="1" applyAlignment="1">
      <alignment vertical="center"/>
    </xf>
    <xf numFmtId="3" fontId="5" fillId="4" borderId="3" xfId="0" applyNumberFormat="1" applyFont="1" applyFill="1" applyBorder="1" applyAlignment="1">
      <alignment vertical="center"/>
    </xf>
    <xf numFmtId="3" fontId="5" fillId="4" borderId="2" xfId="0" applyNumberFormat="1" applyFont="1" applyFill="1" applyBorder="1" applyAlignment="1">
      <alignment vertical="center"/>
    </xf>
    <xf numFmtId="3" fontId="5" fillId="4" borderId="0" xfId="0" applyNumberFormat="1" applyFont="1" applyFill="1" applyBorder="1" applyAlignment="1" applyProtection="1">
      <alignment vertical="center"/>
      <protection locked="0"/>
    </xf>
    <xf numFmtId="0" fontId="5" fillId="4" borderId="7" xfId="0" applyFont="1" applyFill="1" applyBorder="1" applyAlignment="1">
      <alignment vertical="center"/>
    </xf>
    <xf numFmtId="43" fontId="0" fillId="12" borderId="2" xfId="0" applyNumberFormat="1" applyFill="1" applyBorder="1" applyAlignment="1" applyProtection="1">
      <alignment horizontal="right" vertical="center"/>
      <protection locked="0"/>
    </xf>
    <xf numFmtId="43" fontId="0" fillId="12" borderId="3" xfId="0" applyNumberFormat="1" applyFill="1" applyBorder="1" applyAlignment="1" applyProtection="1">
      <alignment horizontal="right" vertical="center"/>
      <protection locked="0"/>
    </xf>
    <xf numFmtId="1" fontId="0" fillId="12" borderId="3" xfId="0" applyNumberFormat="1" applyFill="1" applyBorder="1" applyAlignment="1" applyProtection="1">
      <alignment horizontal="right" vertical="center"/>
      <protection locked="0"/>
    </xf>
    <xf numFmtId="0" fontId="23" fillId="0" borderId="0" xfId="2" applyFont="1" applyFill="1"/>
    <xf numFmtId="0" fontId="23" fillId="0" borderId="0" xfId="2" applyFont="1" applyFill="1" applyAlignment="1"/>
    <xf numFmtId="0" fontId="23" fillId="0" borderId="45" xfId="2" applyFont="1" applyFill="1" applyBorder="1" applyAlignment="1">
      <alignment horizontal="center"/>
    </xf>
    <xf numFmtId="3" fontId="23" fillId="0" borderId="45" xfId="2" applyNumberFormat="1" applyFont="1" applyFill="1" applyBorder="1" applyAlignment="1">
      <alignment horizontal="center"/>
    </xf>
    <xf numFmtId="10" fontId="23" fillId="0" borderId="45" xfId="2" applyNumberFormat="1" applyFont="1" applyFill="1" applyBorder="1" applyAlignment="1">
      <alignment horizontal="center"/>
    </xf>
    <xf numFmtId="9" fontId="23" fillId="0" borderId="45" xfId="2" applyNumberFormat="1" applyFont="1" applyFill="1" applyBorder="1" applyAlignment="1">
      <alignment horizontal="center"/>
    </xf>
    <xf numFmtId="3" fontId="23" fillId="0" borderId="47" xfId="2" applyNumberFormat="1" applyFont="1" applyFill="1" applyBorder="1" applyAlignment="1">
      <alignment horizontal="center"/>
    </xf>
    <xf numFmtId="0" fontId="0" fillId="2" borderId="1" xfId="0" applyFill="1" applyBorder="1" applyAlignment="1">
      <alignment horizontal="right" vertical="center"/>
    </xf>
    <xf numFmtId="0" fontId="7" fillId="2" borderId="0" xfId="0" applyFont="1" applyFill="1" applyBorder="1" applyAlignment="1">
      <alignment horizontal="center" vertical="center"/>
    </xf>
    <xf numFmtId="167" fontId="7" fillId="2" borderId="0" xfId="0" applyNumberFormat="1" applyFont="1" applyFill="1" applyBorder="1" applyAlignment="1">
      <alignment horizontal="center" vertical="center"/>
    </xf>
    <xf numFmtId="3" fontId="7" fillId="5" borderId="0" xfId="0" applyNumberFormat="1" applyFont="1" applyFill="1" applyBorder="1" applyAlignment="1" applyProtection="1">
      <alignment horizontal="right" vertical="center"/>
      <protection hidden="1"/>
    </xf>
    <xf numFmtId="166" fontId="7" fillId="2" borderId="0" xfId="0" applyNumberFormat="1" applyFont="1" applyFill="1" applyBorder="1" applyAlignment="1">
      <alignment horizontal="center" vertical="center"/>
    </xf>
    <xf numFmtId="3" fontId="7" fillId="4" borderId="0" xfId="0" applyNumberFormat="1" applyFont="1" applyFill="1" applyBorder="1" applyAlignment="1" applyProtection="1">
      <alignment horizontal="right" vertical="center"/>
      <protection hidden="1"/>
    </xf>
    <xf numFmtId="165" fontId="7" fillId="5" borderId="0" xfId="0" applyNumberFormat="1" applyFont="1" applyFill="1" applyBorder="1" applyAlignment="1" applyProtection="1">
      <alignment horizontal="right" vertical="center"/>
      <protection hidden="1"/>
    </xf>
    <xf numFmtId="0" fontId="23" fillId="0" borderId="47" xfId="2" applyFont="1" applyFill="1" applyBorder="1" applyAlignment="1">
      <alignment horizontal="center"/>
    </xf>
    <xf numFmtId="3" fontId="25" fillId="0" borderId="45" xfId="2" applyNumberFormat="1" applyFont="1" applyFill="1" applyBorder="1" applyAlignment="1">
      <alignment horizontal="center"/>
    </xf>
    <xf numFmtId="0" fontId="25" fillId="0" borderId="46" xfId="2" applyFont="1" applyFill="1" applyBorder="1" applyAlignment="1">
      <alignment horizontal="center"/>
    </xf>
    <xf numFmtId="0" fontId="25" fillId="0" borderId="44" xfId="2" applyFont="1" applyFill="1" applyBorder="1" applyAlignment="1">
      <alignment horizontal="center"/>
    </xf>
    <xf numFmtId="0" fontId="25" fillId="0" borderId="45" xfId="2" applyFont="1" applyFill="1" applyBorder="1" applyAlignment="1">
      <alignment horizontal="center"/>
    </xf>
    <xf numFmtId="0" fontId="26" fillId="0" borderId="0" xfId="0" applyFont="1"/>
    <xf numFmtId="0" fontId="26" fillId="2" borderId="9" xfId="0" applyFont="1" applyFill="1" applyBorder="1" applyAlignment="1" applyProtection="1">
      <alignment horizontal="left" vertical="center"/>
      <protection locked="0"/>
    </xf>
    <xf numFmtId="0" fontId="27" fillId="2" borderId="1" xfId="0" applyFont="1" applyFill="1" applyBorder="1" applyAlignment="1">
      <alignment horizontal="right" vertical="center"/>
    </xf>
    <xf numFmtId="0" fontId="28" fillId="2" borderId="0" xfId="0" applyFont="1" applyFill="1" applyBorder="1" applyAlignment="1">
      <alignment vertical="center"/>
    </xf>
    <xf numFmtId="4" fontId="27" fillId="2" borderId="9" xfId="0" applyNumberFormat="1" applyFont="1" applyFill="1" applyBorder="1" applyAlignment="1" applyProtection="1">
      <alignment horizontal="right" vertical="center"/>
      <protection locked="0"/>
    </xf>
    <xf numFmtId="0" fontId="29" fillId="7" borderId="2" xfId="0" applyFont="1" applyFill="1" applyBorder="1" applyAlignment="1" applyProtection="1">
      <alignment horizontal="left" vertical="center"/>
      <protection locked="0"/>
    </xf>
    <xf numFmtId="1" fontId="0" fillId="2" borderId="46" xfId="1" applyNumberFormat="1" applyFont="1" applyFill="1" applyBorder="1" applyAlignment="1" applyProtection="1">
      <alignment horizontal="right" vertical="center"/>
      <protection locked="0"/>
    </xf>
    <xf numFmtId="3" fontId="0" fillId="2" borderId="46" xfId="0" applyNumberFormat="1" applyFont="1" applyFill="1" applyBorder="1" applyAlignment="1" applyProtection="1">
      <alignment vertical="center"/>
      <protection locked="0"/>
    </xf>
    <xf numFmtId="0" fontId="0" fillId="2" borderId="46" xfId="0" applyFont="1" applyFill="1" applyBorder="1" applyAlignment="1" applyProtection="1">
      <alignment vertical="center"/>
      <protection locked="0"/>
    </xf>
    <xf numFmtId="3" fontId="2" fillId="2" borderId="46" xfId="0" applyNumberFormat="1" applyFont="1" applyFill="1" applyBorder="1" applyAlignment="1" applyProtection="1">
      <alignment vertical="center"/>
      <protection locked="0"/>
    </xf>
    <xf numFmtId="0" fontId="12" fillId="2" borderId="46" xfId="0" applyFont="1" applyFill="1" applyBorder="1" applyAlignment="1" applyProtection="1">
      <alignment vertical="center"/>
      <protection locked="0"/>
    </xf>
    <xf numFmtId="3" fontId="12" fillId="2" borderId="46" xfId="0" applyNumberFormat="1" applyFont="1" applyFill="1" applyBorder="1" applyAlignment="1" applyProtection="1">
      <alignment vertical="center"/>
      <protection locked="0"/>
    </xf>
    <xf numFmtId="1" fontId="27" fillId="2" borderId="46" xfId="1" applyNumberFormat="1" applyFont="1" applyFill="1" applyBorder="1" applyAlignment="1" applyProtection="1">
      <alignment horizontal="right" vertical="center"/>
      <protection locked="0"/>
    </xf>
    <xf numFmtId="0" fontId="26" fillId="2" borderId="13" xfId="0" applyFont="1" applyFill="1" applyBorder="1" applyAlignment="1" applyProtection="1">
      <alignment horizontal="left" vertical="center"/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4" fontId="4" fillId="0" borderId="0" xfId="0" applyNumberFormat="1" applyFont="1" applyFill="1" applyBorder="1" applyAlignment="1" applyProtection="1">
      <alignment vertical="center"/>
      <protection locked="0"/>
    </xf>
    <xf numFmtId="0" fontId="4" fillId="0" borderId="0" xfId="0" applyFont="1" applyFill="1" applyBorder="1" applyAlignment="1">
      <alignment vertical="center"/>
    </xf>
    <xf numFmtId="0" fontId="29" fillId="7" borderId="4" xfId="0" applyFont="1" applyFill="1" applyBorder="1" applyAlignment="1">
      <alignment vertical="center"/>
    </xf>
    <xf numFmtId="0" fontId="27" fillId="2" borderId="1" xfId="0" applyFont="1" applyFill="1" applyBorder="1" applyAlignment="1" applyProtection="1">
      <alignment horizontal="right" vertical="center"/>
      <protection locked="0"/>
    </xf>
    <xf numFmtId="0" fontId="27" fillId="2" borderId="18" xfId="0" applyFont="1" applyFill="1" applyBorder="1" applyAlignment="1">
      <alignment horizontal="left" vertical="center"/>
    </xf>
    <xf numFmtId="0" fontId="0" fillId="2" borderId="2" xfId="0" applyFont="1" applyFill="1" applyBorder="1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0" fontId="27" fillId="2" borderId="3" xfId="0" applyFont="1" applyFill="1" applyBorder="1" applyAlignment="1" applyProtection="1">
      <alignment horizontal="right" vertical="center"/>
      <protection locked="0"/>
    </xf>
    <xf numFmtId="0" fontId="26" fillId="0" borderId="4" xfId="0" applyFont="1" applyFill="1" applyBorder="1" applyAlignment="1" applyProtection="1">
      <alignment horizontal="left" vertical="center"/>
      <protection locked="0"/>
    </xf>
    <xf numFmtId="0" fontId="26" fillId="2" borderId="4" xfId="0" applyFont="1" applyFill="1" applyBorder="1" applyAlignment="1" applyProtection="1">
      <alignment horizontal="left" vertical="center"/>
      <protection locked="0"/>
    </xf>
    <xf numFmtId="0" fontId="27" fillId="4" borderId="1" xfId="0" applyFont="1" applyFill="1" applyBorder="1" applyAlignment="1" applyProtection="1">
      <alignment horizontal="right" vertical="center"/>
      <protection locked="0"/>
    </xf>
    <xf numFmtId="0" fontId="26" fillId="2" borderId="2" xfId="0" applyFont="1" applyFill="1" applyBorder="1" applyAlignment="1" applyProtection="1">
      <alignment horizontal="left" vertical="center"/>
      <protection locked="0"/>
    </xf>
    <xf numFmtId="3" fontId="0" fillId="2" borderId="46" xfId="0" applyNumberFormat="1" applyFont="1" applyFill="1" applyBorder="1" applyAlignment="1">
      <alignment vertical="center"/>
    </xf>
    <xf numFmtId="3" fontId="5" fillId="2" borderId="46" xfId="0" applyNumberFormat="1" applyFont="1" applyFill="1" applyBorder="1" applyAlignment="1" applyProtection="1">
      <alignment vertical="center"/>
      <protection locked="0"/>
    </xf>
    <xf numFmtId="0" fontId="27" fillId="2" borderId="46" xfId="0" applyFont="1" applyFill="1" applyBorder="1" applyAlignment="1" applyProtection="1">
      <alignment horizontal="left" vertical="center"/>
      <protection locked="0"/>
    </xf>
    <xf numFmtId="1" fontId="27" fillId="2" borderId="2" xfId="1" applyNumberFormat="1" applyFont="1" applyFill="1" applyBorder="1" applyAlignment="1" applyProtection="1">
      <alignment horizontal="right" vertical="center"/>
      <protection locked="0"/>
    </xf>
    <xf numFmtId="3" fontId="27" fillId="2" borderId="2" xfId="1" applyNumberFormat="1" applyFont="1" applyFill="1" applyBorder="1" applyAlignment="1" applyProtection="1">
      <alignment horizontal="right" vertical="center"/>
      <protection locked="0"/>
    </xf>
    <xf numFmtId="3" fontId="27" fillId="2" borderId="46" xfId="1" applyNumberFormat="1" applyFont="1" applyFill="1" applyBorder="1" applyAlignment="1" applyProtection="1">
      <alignment horizontal="right" vertical="center"/>
      <protection locked="0"/>
    </xf>
    <xf numFmtId="0" fontId="27" fillId="4" borderId="1" xfId="0" applyFont="1" applyFill="1" applyBorder="1" applyAlignment="1">
      <alignment horizontal="left" vertical="center"/>
    </xf>
    <xf numFmtId="0" fontId="27" fillId="4" borderId="3" xfId="0" applyFont="1" applyFill="1" applyBorder="1" applyAlignment="1">
      <alignment horizontal="left" vertical="center"/>
    </xf>
    <xf numFmtId="0" fontId="27" fillId="2" borderId="1" xfId="0" applyFont="1" applyFill="1" applyBorder="1" applyAlignment="1" applyProtection="1">
      <alignment horizontal="left" vertical="center"/>
      <protection locked="0"/>
    </xf>
    <xf numFmtId="0" fontId="0" fillId="2" borderId="1" xfId="0" applyFont="1" applyFill="1" applyBorder="1" applyAlignment="1">
      <alignment horizontal="left" vertical="center"/>
    </xf>
    <xf numFmtId="0" fontId="27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0" fontId="27" fillId="0" borderId="3" xfId="0" applyFont="1" applyFill="1" applyBorder="1" applyAlignment="1" applyProtection="1">
      <alignment horizontal="left" vertical="center"/>
      <protection locked="0"/>
    </xf>
    <xf numFmtId="0" fontId="29" fillId="0" borderId="2" xfId="0" applyFont="1" applyFill="1" applyBorder="1" applyAlignment="1" applyProtection="1">
      <alignment horizontal="left" vertical="center"/>
      <protection locked="0"/>
    </xf>
    <xf numFmtId="0" fontId="5" fillId="0" borderId="3" xfId="0" applyFont="1" applyFill="1" applyBorder="1" applyAlignment="1" applyProtection="1">
      <alignment horizontal="right" vertical="center"/>
      <protection locked="0"/>
    </xf>
    <xf numFmtId="1" fontId="0" fillId="0" borderId="2" xfId="1" applyNumberFormat="1" applyFont="1" applyFill="1" applyBorder="1" applyAlignment="1" applyProtection="1">
      <alignment horizontal="right" vertical="center"/>
      <protection locked="0"/>
    </xf>
    <xf numFmtId="3" fontId="0" fillId="0" borderId="2" xfId="0" applyNumberFormat="1" applyFont="1" applyFill="1" applyBorder="1" applyAlignment="1">
      <alignment vertical="center"/>
    </xf>
    <xf numFmtId="0" fontId="0" fillId="0" borderId="3" xfId="0" applyFont="1" applyFill="1" applyBorder="1" applyAlignment="1" applyProtection="1">
      <alignment horizontal="right" vertical="center"/>
      <protection locked="0"/>
    </xf>
    <xf numFmtId="3" fontId="0" fillId="0" borderId="2" xfId="1" applyNumberFormat="1" applyFont="1" applyFill="1" applyBorder="1" applyAlignment="1" applyProtection="1">
      <alignment horizontal="right" vertical="center"/>
      <protection locked="0"/>
    </xf>
    <xf numFmtId="3" fontId="12" fillId="0" borderId="46" xfId="0" applyNumberFormat="1" applyFont="1" applyFill="1" applyBorder="1" applyAlignment="1" applyProtection="1">
      <alignment vertical="center"/>
      <protection locked="0"/>
    </xf>
    <xf numFmtId="3" fontId="0" fillId="0" borderId="46" xfId="0" applyNumberFormat="1" applyFont="1" applyBorder="1" applyAlignment="1">
      <alignment vertical="center"/>
    </xf>
    <xf numFmtId="0" fontId="27" fillId="0" borderId="1" xfId="0" applyFont="1" applyFill="1" applyBorder="1" applyAlignment="1" applyProtection="1">
      <alignment horizontal="left" vertical="center"/>
      <protection locked="0"/>
    </xf>
    <xf numFmtId="0" fontId="27" fillId="2" borderId="3" xfId="0" applyFont="1" applyFill="1" applyBorder="1" applyAlignment="1">
      <alignment horizontal="right" vertical="center"/>
    </xf>
    <xf numFmtId="0" fontId="4" fillId="0" borderId="2" xfId="0" applyFont="1" applyFill="1" applyBorder="1" applyAlignment="1" applyProtection="1">
      <alignment horizontal="left" vertical="center"/>
      <protection locked="0"/>
    </xf>
    <xf numFmtId="43" fontId="0" fillId="0" borderId="2" xfId="1" applyFont="1" applyFill="1" applyBorder="1" applyAlignment="1" applyProtection="1">
      <alignment horizontal="right" vertical="center"/>
      <protection locked="0"/>
    </xf>
    <xf numFmtId="0" fontId="31" fillId="11" borderId="9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Alignment="1">
      <alignment vertical="center"/>
    </xf>
    <xf numFmtId="3" fontId="3" fillId="0" borderId="38" xfId="0" applyNumberFormat="1" applyFont="1" applyFill="1" applyBorder="1" applyAlignment="1">
      <alignment vertical="center"/>
    </xf>
    <xf numFmtId="3" fontId="11" fillId="0" borderId="46" xfId="0" applyNumberFormat="1" applyFont="1" applyFill="1" applyBorder="1" applyAlignment="1">
      <alignment horizontal="center" vertical="center"/>
    </xf>
    <xf numFmtId="0" fontId="26" fillId="4" borderId="2" xfId="0" applyFont="1" applyFill="1" applyBorder="1" applyAlignment="1" applyProtection="1">
      <alignment horizontal="left" vertical="center"/>
      <protection locked="0"/>
    </xf>
    <xf numFmtId="0" fontId="27" fillId="4" borderId="0" xfId="0" applyFont="1" applyFill="1"/>
    <xf numFmtId="4" fontId="6" fillId="4" borderId="0" xfId="0" applyNumberFormat="1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>
      <alignment horizontal="center" vertical="center"/>
    </xf>
    <xf numFmtId="0" fontId="26" fillId="0" borderId="2" xfId="0" applyFont="1" applyFill="1" applyBorder="1" applyAlignment="1" applyProtection="1">
      <alignment horizontal="left" vertical="center"/>
      <protection locked="0"/>
    </xf>
    <xf numFmtId="3" fontId="2" fillId="0" borderId="2" xfId="0" applyNumberFormat="1" applyFont="1" applyFill="1" applyBorder="1" applyAlignment="1" applyProtection="1">
      <alignment vertical="center"/>
      <protection locked="0"/>
    </xf>
    <xf numFmtId="3" fontId="5" fillId="0" borderId="5" xfId="0" applyNumberFormat="1" applyFont="1" applyFill="1" applyBorder="1" applyAlignment="1" applyProtection="1">
      <alignment vertical="center"/>
      <protection locked="0"/>
    </xf>
    <xf numFmtId="0" fontId="26" fillId="4" borderId="9" xfId="0" applyFont="1" applyFill="1" applyBorder="1" applyAlignment="1" applyProtection="1">
      <alignment horizontal="left" vertical="center"/>
      <protection locked="0"/>
    </xf>
    <xf numFmtId="43" fontId="27" fillId="2" borderId="2" xfId="1" applyFont="1" applyFill="1" applyBorder="1" applyAlignment="1" applyProtection="1">
      <alignment horizontal="right" vertical="center"/>
      <protection locked="0"/>
    </xf>
    <xf numFmtId="0" fontId="27" fillId="2" borderId="48" xfId="0" applyFont="1" applyFill="1" applyBorder="1" applyAlignment="1" applyProtection="1">
      <alignment horizontal="left" vertical="center"/>
      <protection locked="0"/>
    </xf>
    <xf numFmtId="43" fontId="27" fillId="2" borderId="46" xfId="1" applyFont="1" applyFill="1" applyBorder="1" applyAlignment="1" applyProtection="1">
      <alignment horizontal="right" vertical="center"/>
      <protection hidden="1"/>
    </xf>
    <xf numFmtId="0" fontId="26" fillId="4" borderId="13" xfId="0" applyFont="1" applyFill="1" applyBorder="1" applyAlignment="1" applyProtection="1">
      <alignment horizontal="left" vertical="center"/>
      <protection locked="0"/>
    </xf>
    <xf numFmtId="0" fontId="27" fillId="4" borderId="3" xfId="0" applyFont="1" applyFill="1" applyBorder="1" applyAlignment="1" applyProtection="1">
      <alignment horizontal="left" vertical="center"/>
      <protection locked="0"/>
    </xf>
    <xf numFmtId="3" fontId="0" fillId="0" borderId="0" xfId="0" applyNumberFormat="1"/>
    <xf numFmtId="1" fontId="27" fillId="2" borderId="46" xfId="0" applyNumberFormat="1" applyFont="1" applyFill="1" applyBorder="1" applyAlignment="1" applyProtection="1">
      <alignment horizontal="right" vertical="center"/>
      <protection locked="0"/>
    </xf>
    <xf numFmtId="0" fontId="27" fillId="2" borderId="12" xfId="0" applyFont="1" applyFill="1" applyBorder="1" applyAlignment="1" applyProtection="1">
      <alignment horizontal="right" vertical="center"/>
      <protection locked="0"/>
    </xf>
    <xf numFmtId="3" fontId="3" fillId="8" borderId="26" xfId="0" applyNumberFormat="1" applyFont="1" applyFill="1" applyBorder="1" applyAlignment="1" applyProtection="1">
      <alignment horizontal="center" vertical="center"/>
      <protection hidden="1"/>
    </xf>
    <xf numFmtId="3" fontId="7" fillId="5" borderId="6" xfId="0" applyNumberFormat="1" applyFont="1" applyFill="1" applyBorder="1" applyAlignment="1" applyProtection="1">
      <alignment horizontal="center" vertical="center"/>
      <protection hidden="1"/>
    </xf>
    <xf numFmtId="3" fontId="7" fillId="5" borderId="21" xfId="0" applyNumberFormat="1" applyFont="1" applyFill="1" applyBorder="1" applyAlignment="1" applyProtection="1">
      <alignment horizontal="center" vertical="center"/>
      <protection hidden="1"/>
    </xf>
    <xf numFmtId="3" fontId="3" fillId="4" borderId="10" xfId="0" applyNumberFormat="1" applyFont="1" applyFill="1" applyBorder="1" applyAlignment="1" applyProtection="1">
      <alignment horizontal="center" vertical="center"/>
      <protection hidden="1"/>
    </xf>
    <xf numFmtId="3" fontId="7" fillId="4" borderId="10" xfId="0" applyNumberFormat="1" applyFont="1" applyFill="1" applyBorder="1" applyAlignment="1" applyProtection="1">
      <alignment horizontal="center" vertical="center"/>
      <protection hidden="1"/>
    </xf>
    <xf numFmtId="3" fontId="3" fillId="8" borderId="22" xfId="0" applyNumberFormat="1" applyFont="1" applyFill="1" applyBorder="1" applyAlignment="1" applyProtection="1">
      <alignment horizontal="center" vertical="center"/>
      <protection hidden="1"/>
    </xf>
    <xf numFmtId="3" fontId="3" fillId="5" borderId="25" xfId="0" applyNumberFormat="1" applyFont="1" applyFill="1" applyBorder="1" applyAlignment="1" applyProtection="1">
      <alignment horizontal="center" vertical="center"/>
      <protection hidden="1"/>
    </xf>
    <xf numFmtId="3" fontId="3" fillId="5" borderId="24" xfId="0" applyNumberFormat="1" applyFont="1" applyFill="1" applyBorder="1" applyAlignment="1" applyProtection="1">
      <alignment horizontal="center" vertical="center"/>
      <protection hidden="1"/>
    </xf>
    <xf numFmtId="3" fontId="3" fillId="4" borderId="0" xfId="0" applyNumberFormat="1" applyFont="1" applyFill="1" applyBorder="1" applyAlignment="1" applyProtection="1">
      <alignment horizontal="center" vertical="center"/>
      <protection hidden="1"/>
    </xf>
    <xf numFmtId="0" fontId="10" fillId="0" borderId="12" xfId="0" applyFont="1" applyFill="1" applyBorder="1" applyAlignment="1">
      <alignment horizontal="left" vertical="center"/>
    </xf>
    <xf numFmtId="9" fontId="0" fillId="2" borderId="0" xfId="1" applyNumberFormat="1" applyFont="1" applyFill="1" applyBorder="1" applyAlignment="1" applyProtection="1">
      <alignment horizontal="right" vertical="center"/>
      <protection locked="0"/>
    </xf>
    <xf numFmtId="0" fontId="14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44" fontId="33" fillId="0" borderId="49" xfId="4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right" vertical="center"/>
      <protection locked="0"/>
    </xf>
    <xf numFmtId="4" fontId="2" fillId="4" borderId="2" xfId="0" applyNumberFormat="1" applyFont="1" applyFill="1" applyBorder="1" applyAlignment="1" applyProtection="1">
      <alignment horizontal="right" vertical="center"/>
      <protection locked="0"/>
    </xf>
    <xf numFmtId="0" fontId="36" fillId="4" borderId="4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>
      <alignment horizontal="right" vertical="center"/>
    </xf>
    <xf numFmtId="0" fontId="3" fillId="4" borderId="0" xfId="0" applyFont="1" applyFill="1" applyAlignment="1" applyProtection="1">
      <alignment horizontal="center" vertical="center"/>
      <protection locked="0"/>
    </xf>
    <xf numFmtId="0" fontId="3" fillId="4" borderId="0" xfId="0" applyFont="1" applyFill="1" applyAlignment="1" applyProtection="1">
      <alignment horizontal="left" vertical="center"/>
      <protection locked="0"/>
    </xf>
    <xf numFmtId="3" fontId="3" fillId="4" borderId="0" xfId="0" applyNumberFormat="1" applyFont="1" applyFill="1" applyAlignment="1" applyProtection="1">
      <alignment horizontal="right" vertical="center"/>
      <protection hidden="1"/>
    </xf>
    <xf numFmtId="3" fontId="37" fillId="13" borderId="22" xfId="0" applyNumberFormat="1" applyFont="1" applyFill="1" applyBorder="1" applyAlignment="1" applyProtection="1">
      <alignment horizontal="right" vertical="center"/>
      <protection hidden="1"/>
    </xf>
    <xf numFmtId="0" fontId="5" fillId="2" borderId="0" xfId="0" applyFont="1" applyFill="1" applyBorder="1" applyAlignment="1" applyProtection="1">
      <alignment horizontal="left" vertical="center"/>
      <protection hidden="1"/>
    </xf>
    <xf numFmtId="3" fontId="3" fillId="5" borderId="0" xfId="0" applyNumberFormat="1" applyFont="1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>
      <alignment horizontal="left" vertical="center"/>
    </xf>
    <xf numFmtId="0" fontId="0" fillId="2" borderId="46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5" borderId="4" xfId="0" applyFont="1" applyFill="1" applyBorder="1" applyAlignment="1" applyProtection="1">
      <alignment horizontal="center" vertical="center"/>
      <protection locked="0"/>
    </xf>
    <xf numFmtId="0" fontId="3" fillId="5" borderId="10" xfId="0" applyFont="1" applyFill="1" applyBorder="1" applyAlignment="1" applyProtection="1">
      <alignment horizontal="center" vertical="center"/>
      <protection locked="0"/>
    </xf>
    <xf numFmtId="0" fontId="27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22" fillId="2" borderId="32" xfId="0" applyFont="1" applyFill="1" applyBorder="1" applyAlignment="1">
      <alignment horizontal="center" vertical="center"/>
    </xf>
    <xf numFmtId="0" fontId="3" fillId="5" borderId="2" xfId="0" applyFont="1" applyFill="1" applyBorder="1" applyAlignment="1" applyProtection="1">
      <alignment horizontal="center" vertical="center"/>
      <protection locked="0"/>
    </xf>
    <xf numFmtId="0" fontId="3" fillId="5" borderId="14" xfId="0" applyFont="1" applyFill="1" applyBorder="1" applyAlignment="1" applyProtection="1">
      <alignment horizontal="center" vertical="center"/>
      <protection locked="0"/>
    </xf>
    <xf numFmtId="0" fontId="3" fillId="5" borderId="15" xfId="0" applyFont="1" applyFill="1" applyBorder="1" applyAlignment="1" applyProtection="1">
      <alignment horizontal="center" vertical="center"/>
      <protection locked="0"/>
    </xf>
    <xf numFmtId="0" fontId="3" fillId="5" borderId="27" xfId="0" applyFont="1" applyFill="1" applyBorder="1" applyAlignment="1" applyProtection="1">
      <alignment horizontal="center" vertical="center"/>
      <protection locked="0"/>
    </xf>
    <xf numFmtId="0" fontId="3" fillId="5" borderId="29" xfId="0" applyFont="1" applyFill="1" applyBorder="1" applyAlignment="1" applyProtection="1">
      <alignment horizontal="center" vertical="center"/>
      <protection locked="0"/>
    </xf>
    <xf numFmtId="0" fontId="3" fillId="5" borderId="27" xfId="0" applyFont="1" applyFill="1" applyBorder="1" applyAlignment="1" applyProtection="1">
      <alignment horizontal="left" vertical="center"/>
      <protection locked="0"/>
    </xf>
    <xf numFmtId="0" fontId="3" fillId="5" borderId="29" xfId="0" applyFont="1" applyFill="1" applyBorder="1" applyAlignment="1" applyProtection="1">
      <alignment horizontal="left" vertical="center"/>
      <protection locked="0"/>
    </xf>
    <xf numFmtId="0" fontId="13" fillId="9" borderId="33" xfId="0" applyFont="1" applyFill="1" applyBorder="1" applyAlignment="1" applyProtection="1">
      <alignment horizontal="center" vertical="center"/>
      <protection locked="0"/>
    </xf>
    <xf numFmtId="0" fontId="30" fillId="9" borderId="34" xfId="0" applyFont="1" applyFill="1" applyBorder="1" applyAlignment="1" applyProtection="1">
      <alignment horizontal="center" vertical="center"/>
      <protection locked="0"/>
    </xf>
    <xf numFmtId="0" fontId="30" fillId="9" borderId="35" xfId="0" applyFont="1" applyFill="1" applyBorder="1" applyAlignment="1" applyProtection="1">
      <alignment horizontal="center" vertical="center"/>
      <protection locked="0"/>
    </xf>
    <xf numFmtId="0" fontId="3" fillId="5" borderId="13" xfId="0" applyFont="1" applyFill="1" applyBorder="1" applyAlignment="1" applyProtection="1">
      <alignment horizontal="center" vertical="center"/>
      <protection locked="0"/>
    </xf>
    <xf numFmtId="0" fontId="29" fillId="5" borderId="27" xfId="0" applyFont="1" applyFill="1" applyBorder="1" applyAlignment="1" applyProtection="1">
      <alignment horizontal="center" vertical="center"/>
      <protection locked="0"/>
    </xf>
    <xf numFmtId="0" fontId="23" fillId="0" borderId="42" xfId="2" applyFont="1" applyFill="1" applyBorder="1" applyAlignment="1">
      <alignment horizontal="center"/>
    </xf>
    <xf numFmtId="0" fontId="24" fillId="0" borderId="43" xfId="2" applyFont="1" applyFill="1" applyBorder="1"/>
    <xf numFmtId="0" fontId="24" fillId="0" borderId="44" xfId="2" applyFont="1" applyFill="1" applyBorder="1"/>
  </cellXfs>
  <cellStyles count="10">
    <cellStyle name="Hipervínculo" xfId="6" builtinId="8" hidden="1"/>
    <cellStyle name="Hipervínculo" xfId="8" builtinId="8" hidden="1"/>
    <cellStyle name="Hipervínculo visitado" xfId="7" builtinId="9" hidden="1"/>
    <cellStyle name="Hipervínculo visitado" xfId="9" builtinId="9" hidden="1"/>
    <cellStyle name="Millares" xfId="1" builtinId="3"/>
    <cellStyle name="Moneda 2" xfId="4"/>
    <cellStyle name="Normal" xfId="0" builtinId="0"/>
    <cellStyle name="Normal 2" xfId="2"/>
    <cellStyle name="Normal 3" xfId="3"/>
    <cellStyle name="Porcentual 2" xfId="5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3"/>
  <sheetViews>
    <sheetView showGridLines="0" tabSelected="1" topLeftCell="A37" zoomScale="73" zoomScaleNormal="73" zoomScalePageLayoutView="73" workbookViewId="0">
      <selection activeCell="H565" sqref="H565"/>
    </sheetView>
  </sheetViews>
  <sheetFormatPr baseColWidth="10" defaultColWidth="11.42578125" defaultRowHeight="12.75" x14ac:dyDescent="0.2"/>
  <cols>
    <col min="1" max="1" width="0.7109375" style="40" customWidth="1"/>
    <col min="2" max="2" width="1.42578125" style="39" customWidth="1"/>
    <col min="3" max="3" width="6" style="47" customWidth="1"/>
    <col min="4" max="4" width="67.140625" style="19" customWidth="1"/>
    <col min="5" max="5" width="15.85546875" style="20" customWidth="1"/>
    <col min="6" max="6" width="11.85546875" style="19" customWidth="1"/>
    <col min="7" max="7" width="17.140625" style="19" customWidth="1"/>
    <col min="8" max="8" width="13.7109375" style="19" customWidth="1"/>
    <col min="9" max="9" width="11.85546875" style="48" hidden="1" customWidth="1"/>
    <col min="10" max="10" width="12.42578125" style="48" hidden="1" customWidth="1"/>
    <col min="11" max="11" width="6.28515625" style="48" customWidth="1"/>
    <col min="12" max="12" width="2.7109375" style="48" customWidth="1"/>
    <col min="13" max="16384" width="11.42578125" style="40"/>
  </cols>
  <sheetData>
    <row r="1" spans="1:12" ht="15" customHeight="1" thickBot="1" x14ac:dyDescent="0.25">
      <c r="A1" s="207"/>
      <c r="B1" s="212"/>
      <c r="C1" s="215"/>
      <c r="D1" s="216"/>
      <c r="E1" s="217"/>
      <c r="F1" s="216"/>
      <c r="G1" s="216"/>
      <c r="H1" s="216"/>
      <c r="I1" s="218"/>
      <c r="J1" s="218"/>
      <c r="K1" s="218"/>
      <c r="L1" s="218"/>
    </row>
    <row r="2" spans="1:12" ht="17.100000000000001" customHeight="1" thickTop="1" thickBot="1" x14ac:dyDescent="0.25">
      <c r="A2" s="207"/>
      <c r="B2" s="147"/>
      <c r="C2" s="148"/>
      <c r="D2" s="149"/>
      <c r="E2" s="150"/>
      <c r="F2" s="149"/>
      <c r="G2" s="149"/>
      <c r="H2" s="149"/>
      <c r="I2" s="151"/>
      <c r="J2" s="151"/>
      <c r="K2" s="151"/>
      <c r="L2" s="151"/>
    </row>
    <row r="3" spans="1:12" s="36" customFormat="1" ht="15.95" customHeight="1" x14ac:dyDescent="0.2">
      <c r="A3" s="208"/>
      <c r="B3" s="152"/>
      <c r="C3" s="478" t="s">
        <v>133</v>
      </c>
      <c r="D3" s="486" t="s">
        <v>338</v>
      </c>
      <c r="E3" s="118" t="s">
        <v>123</v>
      </c>
      <c r="F3" s="102">
        <v>2</v>
      </c>
      <c r="G3" s="470" t="s">
        <v>118</v>
      </c>
      <c r="H3" s="115">
        <v>50</v>
      </c>
      <c r="I3" s="392" t="s">
        <v>118</v>
      </c>
      <c r="J3" s="115">
        <v>50</v>
      </c>
      <c r="K3" s="362"/>
      <c r="L3" s="362"/>
    </row>
    <row r="4" spans="1:12" s="36" customFormat="1" ht="15.95" customHeight="1" x14ac:dyDescent="0.2">
      <c r="A4" s="208"/>
      <c r="B4" s="152"/>
      <c r="C4" s="478"/>
      <c r="D4" s="487"/>
      <c r="E4" s="14" t="s">
        <v>78</v>
      </c>
      <c r="F4" s="103">
        <v>2.5</v>
      </c>
      <c r="G4" s="471" t="s">
        <v>122</v>
      </c>
      <c r="H4" s="119">
        <v>40</v>
      </c>
      <c r="I4" s="393" t="s">
        <v>122</v>
      </c>
      <c r="J4" s="119">
        <v>40</v>
      </c>
      <c r="K4" s="363"/>
      <c r="L4" s="363"/>
    </row>
    <row r="5" spans="1:12" s="36" customFormat="1" ht="15.95" customHeight="1" thickBot="1" x14ac:dyDescent="0.25">
      <c r="A5" s="208"/>
      <c r="B5" s="152"/>
      <c r="C5" s="478"/>
      <c r="D5" s="488"/>
      <c r="E5" s="391" t="s">
        <v>268</v>
      </c>
      <c r="F5" s="103">
        <v>2</v>
      </c>
      <c r="G5" s="472" t="s">
        <v>269</v>
      </c>
      <c r="H5" s="322">
        <v>10</v>
      </c>
      <c r="I5" s="394" t="s">
        <v>269</v>
      </c>
      <c r="J5" s="322">
        <v>10</v>
      </c>
      <c r="K5" s="433"/>
      <c r="L5" s="433"/>
    </row>
    <row r="6" spans="1:12" s="38" customFormat="1" ht="20.100000000000001" customHeight="1" thickBot="1" x14ac:dyDescent="0.25">
      <c r="A6" s="209"/>
      <c r="B6" s="153"/>
      <c r="C6" s="146"/>
      <c r="D6" s="237" t="s">
        <v>79</v>
      </c>
      <c r="E6" s="238"/>
      <c r="F6" s="238"/>
      <c r="G6" s="239"/>
      <c r="H6" s="236" t="s">
        <v>53</v>
      </c>
      <c r="I6" s="234" t="s">
        <v>55</v>
      </c>
      <c r="J6" s="235" t="s">
        <v>121</v>
      </c>
      <c r="K6" s="432"/>
      <c r="L6" s="432"/>
    </row>
    <row r="7" spans="1:12" ht="9" customHeight="1" x14ac:dyDescent="0.2">
      <c r="A7" s="207"/>
      <c r="B7" s="152"/>
      <c r="C7" s="53"/>
      <c r="D7" s="39"/>
      <c r="E7" s="4"/>
      <c r="F7" s="5"/>
      <c r="G7" s="5"/>
      <c r="H7" s="143"/>
      <c r="I7" s="144"/>
      <c r="J7" s="144"/>
      <c r="K7" s="144"/>
      <c r="L7" s="144"/>
    </row>
    <row r="8" spans="1:12" s="41" customFormat="1" ht="20.100000000000001" customHeight="1" x14ac:dyDescent="0.2">
      <c r="A8" s="210"/>
      <c r="B8" s="154"/>
      <c r="C8" s="228">
        <v>1</v>
      </c>
      <c r="D8" s="229" t="str">
        <f>D73</f>
        <v>LIBRO / ARGUMENTO / GUION</v>
      </c>
      <c r="E8" s="230"/>
      <c r="F8" s="231"/>
      <c r="G8" s="231"/>
      <c r="H8" s="446">
        <v>1836250</v>
      </c>
      <c r="I8" s="447">
        <f>I80</f>
        <v>294000</v>
      </c>
      <c r="J8" s="448">
        <f>SUM(H8:I8)</f>
        <v>2130250</v>
      </c>
      <c r="K8" s="367">
        <f>100/$H$62*H8</f>
        <v>3.2811160120564922</v>
      </c>
      <c r="L8" s="364" t="s">
        <v>258</v>
      </c>
    </row>
    <row r="9" spans="1:12" ht="9" customHeight="1" x14ac:dyDescent="0.2">
      <c r="A9" s="207"/>
      <c r="B9" s="155"/>
      <c r="C9" s="58"/>
      <c r="D9" s="59"/>
      <c r="E9" s="60"/>
      <c r="F9" s="61"/>
      <c r="G9" s="61"/>
      <c r="H9" s="104"/>
      <c r="I9" s="105"/>
      <c r="J9" s="105"/>
      <c r="K9" s="365"/>
      <c r="L9" s="365"/>
    </row>
    <row r="10" spans="1:12" s="41" customFormat="1" ht="20.100000000000001" customHeight="1" x14ac:dyDescent="0.2">
      <c r="A10" s="210"/>
      <c r="B10" s="154"/>
      <c r="C10" s="228">
        <v>2</v>
      </c>
      <c r="D10" s="229" t="str">
        <f>D82</f>
        <v>DIRECCION</v>
      </c>
      <c r="E10" s="230"/>
      <c r="F10" s="231"/>
      <c r="G10" s="231"/>
      <c r="H10" s="446">
        <v>1500000</v>
      </c>
      <c r="I10" s="447">
        <v>315000</v>
      </c>
      <c r="J10" s="448">
        <f>SUM(H10:I10)</f>
        <v>1815000</v>
      </c>
      <c r="K10" s="367">
        <f>100/$H$62*H10</f>
        <v>2.6802853740420631</v>
      </c>
      <c r="L10" s="364" t="s">
        <v>258</v>
      </c>
    </row>
    <row r="11" spans="1:12" ht="9" customHeight="1" x14ac:dyDescent="0.2">
      <c r="A11" s="207"/>
      <c r="B11" s="155"/>
      <c r="C11" s="58"/>
      <c r="D11" s="59"/>
      <c r="E11" s="60"/>
      <c r="F11" s="61"/>
      <c r="G11" s="61"/>
      <c r="H11" s="104"/>
      <c r="I11" s="105"/>
      <c r="J11" s="105"/>
      <c r="K11" s="365"/>
      <c r="L11" s="365"/>
    </row>
    <row r="12" spans="1:12" s="41" customFormat="1" ht="20.100000000000001" customHeight="1" x14ac:dyDescent="0.2">
      <c r="A12" s="210"/>
      <c r="B12" s="154"/>
      <c r="C12" s="228">
        <v>3</v>
      </c>
      <c r="D12" s="229" t="str">
        <f>D88</f>
        <v>PRODUCCION</v>
      </c>
      <c r="E12" s="230"/>
      <c r="F12" s="231"/>
      <c r="G12" s="231"/>
      <c r="H12" s="446">
        <f>H93</f>
        <v>975000</v>
      </c>
      <c r="I12" s="447">
        <f>I93</f>
        <v>204750</v>
      </c>
      <c r="J12" s="448">
        <f>SUM(H12:I12)</f>
        <v>1179750</v>
      </c>
      <c r="K12" s="367">
        <f>100/$H$62*H12</f>
        <v>1.7421854931273411</v>
      </c>
      <c r="L12" s="364" t="s">
        <v>258</v>
      </c>
    </row>
    <row r="13" spans="1:12" ht="9" customHeight="1" x14ac:dyDescent="0.2">
      <c r="A13" s="207"/>
      <c r="B13" s="155"/>
      <c r="C13" s="58"/>
      <c r="D13" s="59"/>
      <c r="E13" s="60"/>
      <c r="F13" s="61"/>
      <c r="G13" s="61"/>
      <c r="H13" s="104"/>
      <c r="I13" s="105"/>
      <c r="J13" s="105"/>
      <c r="K13" s="365"/>
      <c r="L13" s="365"/>
    </row>
    <row r="14" spans="1:12" s="41" customFormat="1" ht="17.100000000000001" customHeight="1" x14ac:dyDescent="0.2">
      <c r="A14" s="210"/>
      <c r="B14" s="154"/>
      <c r="C14" s="228">
        <v>4</v>
      </c>
      <c r="D14" s="229" t="str">
        <f>D95</f>
        <v>EQUIPO TECNICO</v>
      </c>
      <c r="E14" s="230"/>
      <c r="F14" s="231"/>
      <c r="G14" s="231"/>
      <c r="H14" s="446">
        <f>+H551</f>
        <v>13636945.699701503</v>
      </c>
      <c r="I14" s="447">
        <f>I535</f>
        <v>0</v>
      </c>
      <c r="J14" s="448">
        <f>SUM(H14:I14)</f>
        <v>13636945.699701503</v>
      </c>
      <c r="K14" s="367">
        <f>100/$H$62*H14</f>
        <v>24.367270737010497</v>
      </c>
      <c r="L14" s="364" t="s">
        <v>258</v>
      </c>
    </row>
    <row r="15" spans="1:12" ht="9" customHeight="1" x14ac:dyDescent="0.2">
      <c r="A15" s="207"/>
      <c r="B15" s="155"/>
      <c r="C15" s="58"/>
      <c r="D15" s="59"/>
      <c r="E15" s="60"/>
      <c r="F15" s="61"/>
      <c r="G15" s="61"/>
      <c r="H15" s="104"/>
      <c r="I15" s="105"/>
      <c r="J15" s="105"/>
      <c r="K15" s="365"/>
      <c r="L15" s="365"/>
    </row>
    <row r="16" spans="1:12" s="41" customFormat="1" ht="17.100000000000001" customHeight="1" x14ac:dyDescent="0.2">
      <c r="A16" s="210"/>
      <c r="B16" s="154"/>
      <c r="C16" s="228">
        <v>5</v>
      </c>
      <c r="D16" s="390" t="s">
        <v>266</v>
      </c>
      <c r="E16" s="230"/>
      <c r="F16" s="231"/>
      <c r="G16" s="231"/>
      <c r="H16" s="446">
        <f>H587</f>
        <v>11221641.742700001</v>
      </c>
      <c r="I16" s="447">
        <f>I587</f>
        <v>0</v>
      </c>
      <c r="J16" s="448">
        <f>SUM(H16:I16)</f>
        <v>11221641.742700001</v>
      </c>
      <c r="K16" s="367">
        <f>100/$H$62*H16</f>
        <v>20.051468157132469</v>
      </c>
      <c r="L16" s="364" t="s">
        <v>258</v>
      </c>
    </row>
    <row r="17" spans="1:12" ht="9" customHeight="1" x14ac:dyDescent="0.2">
      <c r="A17" s="207"/>
      <c r="B17" s="155"/>
      <c r="C17" s="58"/>
      <c r="D17" s="59"/>
      <c r="E17" s="60"/>
      <c r="F17" s="61"/>
      <c r="G17" s="61"/>
      <c r="H17" s="104"/>
      <c r="I17" s="105"/>
      <c r="J17" s="105"/>
      <c r="K17" s="365"/>
      <c r="L17" s="365"/>
    </row>
    <row r="18" spans="1:12" s="41" customFormat="1" ht="17.100000000000001" customHeight="1" x14ac:dyDescent="0.2">
      <c r="A18" s="210"/>
      <c r="B18" s="154"/>
      <c r="C18" s="228">
        <v>6</v>
      </c>
      <c r="D18" s="390" t="s">
        <v>20</v>
      </c>
      <c r="E18" s="230"/>
      <c r="F18" s="231"/>
      <c r="G18" s="231"/>
      <c r="H18" s="446">
        <f>H594</f>
        <v>6466206.8523314213</v>
      </c>
      <c r="I18" s="447">
        <f>I594</f>
        <v>0</v>
      </c>
      <c r="J18" s="448">
        <f>SUM(H18:I18)</f>
        <v>6466206.8523314213</v>
      </c>
      <c r="K18" s="367">
        <f>100/$H$62*H18</f>
        <v>11.554186434556316</v>
      </c>
      <c r="L18" s="364" t="s">
        <v>258</v>
      </c>
    </row>
    <row r="19" spans="1:12" ht="9" customHeight="1" x14ac:dyDescent="0.2">
      <c r="A19" s="207"/>
      <c r="B19" s="155"/>
      <c r="C19" s="58"/>
      <c r="D19" s="59"/>
      <c r="E19" s="60"/>
      <c r="F19" s="61"/>
      <c r="G19" s="61"/>
      <c r="H19" s="104"/>
      <c r="I19" s="105"/>
      <c r="J19" s="105"/>
      <c r="K19" s="365"/>
      <c r="L19" s="365"/>
    </row>
    <row r="20" spans="1:12" s="41" customFormat="1" ht="17.100000000000001" customHeight="1" x14ac:dyDescent="0.2">
      <c r="A20" s="210"/>
      <c r="B20" s="154"/>
      <c r="C20" s="228">
        <v>7</v>
      </c>
      <c r="D20" s="229" t="str">
        <f>D596</f>
        <v>VESTUARIO</v>
      </c>
      <c r="E20" s="230"/>
      <c r="F20" s="231"/>
      <c r="G20" s="231"/>
      <c r="H20" s="446">
        <f>H610</f>
        <v>488000</v>
      </c>
      <c r="I20" s="447">
        <f>I610</f>
        <v>102480</v>
      </c>
      <c r="J20" s="448">
        <f>SUM(H20:I20)</f>
        <v>590480</v>
      </c>
      <c r="K20" s="367">
        <f>100/$H$62*H20</f>
        <v>0.87198617502168452</v>
      </c>
      <c r="L20" s="364" t="s">
        <v>258</v>
      </c>
    </row>
    <row r="21" spans="1:12" ht="9" customHeight="1" x14ac:dyDescent="0.2">
      <c r="A21" s="207"/>
      <c r="B21" s="155"/>
      <c r="C21" s="58"/>
      <c r="D21" s="59"/>
      <c r="E21" s="60"/>
      <c r="F21" s="61"/>
      <c r="G21" s="61"/>
      <c r="H21" s="104"/>
      <c r="I21" s="105"/>
      <c r="J21" s="105"/>
      <c r="K21" s="365"/>
      <c r="L21" s="365"/>
    </row>
    <row r="22" spans="1:12" s="41" customFormat="1" ht="17.100000000000001" customHeight="1" x14ac:dyDescent="0.2">
      <c r="A22" s="210"/>
      <c r="B22" s="154"/>
      <c r="C22" s="228">
        <v>8</v>
      </c>
      <c r="D22" s="229" t="str">
        <f>D612</f>
        <v>MAQUILLAJE</v>
      </c>
      <c r="E22" s="230"/>
      <c r="F22" s="231"/>
      <c r="G22" s="231"/>
      <c r="H22" s="446">
        <f>H619</f>
        <v>62000</v>
      </c>
      <c r="I22" s="447">
        <f>I619</f>
        <v>9870</v>
      </c>
      <c r="J22" s="448">
        <f>SUM(H22:I22)</f>
        <v>71870</v>
      </c>
      <c r="K22" s="367">
        <f>100/$H$62*H22</f>
        <v>0.11078512879373861</v>
      </c>
      <c r="L22" s="364" t="s">
        <v>258</v>
      </c>
    </row>
    <row r="23" spans="1:12" ht="9" customHeight="1" x14ac:dyDescent="0.2">
      <c r="A23" s="207"/>
      <c r="B23" s="155"/>
      <c r="C23" s="58"/>
      <c r="D23" s="59"/>
      <c r="E23" s="60"/>
      <c r="F23" s="61"/>
      <c r="G23" s="61"/>
      <c r="H23" s="104"/>
      <c r="I23" s="105"/>
      <c r="J23" s="105"/>
      <c r="K23" s="365"/>
      <c r="L23" s="365"/>
    </row>
    <row r="24" spans="1:12" s="41" customFormat="1" ht="17.100000000000001" customHeight="1" x14ac:dyDescent="0.2">
      <c r="A24" s="210"/>
      <c r="B24" s="154"/>
      <c r="C24" s="228">
        <v>9</v>
      </c>
      <c r="D24" s="229" t="str">
        <f>D621</f>
        <v>UTILERIA/AMBIENTACIÓN</v>
      </c>
      <c r="E24" s="230"/>
      <c r="F24" s="231"/>
      <c r="G24" s="231"/>
      <c r="H24" s="446">
        <f>H626</f>
        <v>650000</v>
      </c>
      <c r="I24" s="447">
        <f>I626</f>
        <v>127050</v>
      </c>
      <c r="J24" s="448">
        <f>SUM(H24:I24)</f>
        <v>777050</v>
      </c>
      <c r="K24" s="367">
        <f>100/$H$62*H24</f>
        <v>1.1614569954182274</v>
      </c>
      <c r="L24" s="364" t="s">
        <v>258</v>
      </c>
    </row>
    <row r="25" spans="1:12" ht="9" customHeight="1" x14ac:dyDescent="0.2">
      <c r="A25" s="207"/>
      <c r="B25" s="155"/>
      <c r="C25" s="58"/>
      <c r="D25" s="59"/>
      <c r="E25" s="60"/>
      <c r="F25" s="61"/>
      <c r="G25" s="61"/>
      <c r="H25" s="104"/>
      <c r="I25" s="105"/>
      <c r="J25" s="105"/>
      <c r="K25" s="365"/>
      <c r="L25" s="365"/>
    </row>
    <row r="26" spans="1:12" s="41" customFormat="1" ht="17.100000000000001" customHeight="1" x14ac:dyDescent="0.2">
      <c r="A26" s="210"/>
      <c r="B26" s="154"/>
      <c r="C26" s="228">
        <v>10</v>
      </c>
      <c r="D26" s="229" t="str">
        <f>D628</f>
        <v>ESCENOGRAFIA</v>
      </c>
      <c r="E26" s="230"/>
      <c r="F26" s="231"/>
      <c r="G26" s="231"/>
      <c r="H26" s="446">
        <f>H632</f>
        <v>465000</v>
      </c>
      <c r="I26" s="447">
        <f>I632</f>
        <v>97650</v>
      </c>
      <c r="J26" s="448">
        <f>SUM(H26:I26)</f>
        <v>562650</v>
      </c>
      <c r="K26" s="367">
        <f>100/$H$62*H26</f>
        <v>0.83088846595303956</v>
      </c>
      <c r="L26" s="364" t="s">
        <v>258</v>
      </c>
    </row>
    <row r="27" spans="1:12" ht="9" customHeight="1" x14ac:dyDescent="0.2">
      <c r="A27" s="207"/>
      <c r="B27" s="155"/>
      <c r="C27" s="58"/>
      <c r="D27" s="59"/>
      <c r="E27" s="60"/>
      <c r="F27" s="61"/>
      <c r="G27" s="61"/>
      <c r="H27" s="104"/>
      <c r="I27" s="105"/>
      <c r="J27" s="105"/>
      <c r="K27" s="365"/>
      <c r="L27" s="365"/>
    </row>
    <row r="28" spans="1:12" s="41" customFormat="1" ht="17.100000000000001" customHeight="1" x14ac:dyDescent="0.2">
      <c r="A28" s="210"/>
      <c r="B28" s="154"/>
      <c r="C28" s="228">
        <v>11</v>
      </c>
      <c r="D28" s="229" t="str">
        <f>D634</f>
        <v>LOCACIONES</v>
      </c>
      <c r="E28" s="230"/>
      <c r="F28" s="231"/>
      <c r="G28" s="231"/>
      <c r="H28" s="446">
        <f>H655</f>
        <v>2110565</v>
      </c>
      <c r="I28" s="447">
        <f>I655</f>
        <v>283626</v>
      </c>
      <c r="J28" s="448">
        <f>SUM(H28:I28)</f>
        <v>2394191</v>
      </c>
      <c r="K28" s="367">
        <f>100/$H$62*H28</f>
        <v>3.7712776669767245</v>
      </c>
      <c r="L28" s="364" t="s">
        <v>258</v>
      </c>
    </row>
    <row r="29" spans="1:12" ht="9" customHeight="1" x14ac:dyDescent="0.2">
      <c r="A29" s="207"/>
      <c r="B29" s="155"/>
      <c r="C29" s="58"/>
      <c r="D29" s="59"/>
      <c r="E29" s="60"/>
      <c r="F29" s="61"/>
      <c r="G29" s="61"/>
      <c r="H29" s="104"/>
      <c r="I29" s="105"/>
      <c r="J29" s="105"/>
      <c r="K29" s="365"/>
      <c r="L29" s="365"/>
    </row>
    <row r="30" spans="1:12" s="41" customFormat="1" ht="17.100000000000001" customHeight="1" x14ac:dyDescent="0.2">
      <c r="A30" s="210"/>
      <c r="B30" s="154"/>
      <c r="C30" s="228">
        <v>12</v>
      </c>
      <c r="D30" s="229" t="str">
        <f>D657</f>
        <v>MATERIAL DE ARCHIVO</v>
      </c>
      <c r="E30" s="230"/>
      <c r="F30" s="231"/>
      <c r="G30" s="231"/>
      <c r="H30" s="446">
        <f>H660</f>
        <v>30000</v>
      </c>
      <c r="I30" s="447">
        <f>I660</f>
        <v>6300</v>
      </c>
      <c r="J30" s="448">
        <f>SUM(H30:I30)</f>
        <v>36300</v>
      </c>
      <c r="K30" s="367">
        <f>100/$H$62*H30</f>
        <v>5.3605707480841265E-2</v>
      </c>
      <c r="L30" s="364" t="s">
        <v>258</v>
      </c>
    </row>
    <row r="31" spans="1:12" ht="9" customHeight="1" x14ac:dyDescent="0.2">
      <c r="A31" s="207"/>
      <c r="B31" s="155"/>
      <c r="C31" s="58"/>
      <c r="D31" s="59"/>
      <c r="E31" s="60"/>
      <c r="F31" s="61"/>
      <c r="G31" s="61"/>
      <c r="H31" s="104"/>
      <c r="I31" s="105"/>
      <c r="J31" s="105"/>
      <c r="K31" s="365"/>
      <c r="L31" s="365"/>
    </row>
    <row r="32" spans="1:12" s="41" customFormat="1" ht="17.100000000000001" customHeight="1" x14ac:dyDescent="0.2">
      <c r="A32" s="210"/>
      <c r="B32" s="154"/>
      <c r="C32" s="228">
        <v>13</v>
      </c>
      <c r="D32" s="229" t="str">
        <f>D662</f>
        <v>MUSICA</v>
      </c>
      <c r="E32" s="230"/>
      <c r="F32" s="231"/>
      <c r="G32" s="231"/>
      <c r="H32" s="446">
        <f>H668</f>
        <v>230700</v>
      </c>
      <c r="I32" s="447">
        <f>I668</f>
        <v>0</v>
      </c>
      <c r="J32" s="448">
        <f>SUM(H32:I32)</f>
        <v>230700</v>
      </c>
      <c r="K32" s="367">
        <f>100/$H$62*H32</f>
        <v>0.41222789052766928</v>
      </c>
      <c r="L32" s="364" t="s">
        <v>258</v>
      </c>
    </row>
    <row r="33" spans="1:12" ht="9" customHeight="1" x14ac:dyDescent="0.2">
      <c r="A33" s="207"/>
      <c r="B33" s="155"/>
      <c r="C33" s="58"/>
      <c r="D33" s="59"/>
      <c r="E33" s="60"/>
      <c r="F33" s="61"/>
      <c r="G33" s="61"/>
      <c r="H33" s="104"/>
      <c r="I33" s="105"/>
      <c r="J33" s="105"/>
      <c r="K33" s="365"/>
      <c r="L33" s="365"/>
    </row>
    <row r="34" spans="1:12" s="41" customFormat="1" ht="17.100000000000001" customHeight="1" x14ac:dyDescent="0.2">
      <c r="A34" s="210"/>
      <c r="B34" s="154"/>
      <c r="C34" s="228">
        <v>14</v>
      </c>
      <c r="D34" s="229" t="str">
        <f>D670</f>
        <v>MATERIAL VIRGEN</v>
      </c>
      <c r="E34" s="230"/>
      <c r="F34" s="231"/>
      <c r="G34" s="231"/>
      <c r="H34" s="446">
        <f>H676</f>
        <v>127000</v>
      </c>
      <c r="I34" s="447">
        <f>I676</f>
        <v>26670</v>
      </c>
      <c r="J34" s="448">
        <f>SUM(H34:I34)</f>
        <v>153670</v>
      </c>
      <c r="K34" s="367">
        <f>100/$H$62*H34</f>
        <v>0.22693082833556133</v>
      </c>
      <c r="L34" s="364" t="s">
        <v>258</v>
      </c>
    </row>
    <row r="35" spans="1:12" ht="9" customHeight="1" x14ac:dyDescent="0.2">
      <c r="A35" s="207"/>
      <c r="B35" s="155"/>
      <c r="C35" s="58"/>
      <c r="D35" s="59"/>
      <c r="E35" s="60"/>
      <c r="F35" s="61"/>
      <c r="G35" s="61"/>
      <c r="H35" s="104"/>
      <c r="I35" s="105"/>
      <c r="J35" s="105"/>
      <c r="K35" s="365"/>
      <c r="L35" s="365"/>
    </row>
    <row r="36" spans="1:12" s="41" customFormat="1" ht="17.100000000000001" customHeight="1" x14ac:dyDescent="0.2">
      <c r="A36" s="210"/>
      <c r="B36" s="154"/>
      <c r="C36" s="228">
        <v>15</v>
      </c>
      <c r="D36" s="229" t="str">
        <f>D678</f>
        <v>PROCESO DE POSTPRODUCCIÓN</v>
      </c>
      <c r="E36" s="230"/>
      <c r="F36" s="231"/>
      <c r="G36" s="231"/>
      <c r="H36" s="446">
        <f>H687</f>
        <v>1410000</v>
      </c>
      <c r="I36" s="447">
        <f>I687</f>
        <v>296100</v>
      </c>
      <c r="J36" s="448">
        <f>SUM(H36:I36)</f>
        <v>1706100</v>
      </c>
      <c r="K36" s="367">
        <f>100/$H$62*H36</f>
        <v>2.5194682515995392</v>
      </c>
      <c r="L36" s="364" t="s">
        <v>258</v>
      </c>
    </row>
    <row r="37" spans="1:12" ht="9" customHeight="1" x14ac:dyDescent="0.2">
      <c r="A37" s="207"/>
      <c r="B37" s="155"/>
      <c r="C37" s="58"/>
      <c r="D37" s="59"/>
      <c r="E37" s="60"/>
      <c r="F37" s="61"/>
      <c r="G37" s="61"/>
      <c r="H37" s="104"/>
      <c r="I37" s="105"/>
      <c r="J37" s="105"/>
      <c r="K37" s="365"/>
      <c r="L37" s="365"/>
    </row>
    <row r="38" spans="1:12" s="41" customFormat="1" ht="17.100000000000001" customHeight="1" x14ac:dyDescent="0.2">
      <c r="A38" s="210"/>
      <c r="B38" s="154"/>
      <c r="C38" s="228">
        <v>16</v>
      </c>
      <c r="D38" s="229" t="str">
        <f>D689</f>
        <v>PROCESOS DE SONIDO</v>
      </c>
      <c r="E38" s="230"/>
      <c r="F38" s="231"/>
      <c r="G38" s="231"/>
      <c r="H38" s="446">
        <f>H693</f>
        <v>500000</v>
      </c>
      <c r="I38" s="447">
        <f>I693</f>
        <v>105000</v>
      </c>
      <c r="J38" s="448">
        <f>SUM(H38:I38)</f>
        <v>605000</v>
      </c>
      <c r="K38" s="367">
        <f>100/$H$62*H38</f>
        <v>0.89342845801402104</v>
      </c>
      <c r="L38" s="364" t="s">
        <v>258</v>
      </c>
    </row>
    <row r="39" spans="1:12" ht="9" customHeight="1" x14ac:dyDescent="0.2">
      <c r="A39" s="207"/>
      <c r="B39" s="155"/>
      <c r="C39" s="58"/>
      <c r="D39" s="59"/>
      <c r="E39" s="60"/>
      <c r="F39" s="61"/>
      <c r="G39" s="61"/>
      <c r="H39" s="104"/>
      <c r="I39" s="105"/>
      <c r="J39" s="105"/>
      <c r="K39" s="365"/>
      <c r="L39" s="365"/>
    </row>
    <row r="40" spans="1:12" s="41" customFormat="1" ht="17.100000000000001" customHeight="1" x14ac:dyDescent="0.2">
      <c r="A40" s="210"/>
      <c r="B40" s="154"/>
      <c r="C40" s="228">
        <v>17</v>
      </c>
      <c r="D40" s="229" t="str">
        <f>D695</f>
        <v>EQUIPOS DE CAMARAS/LUCES/SONIDO</v>
      </c>
      <c r="E40" s="230"/>
      <c r="F40" s="231"/>
      <c r="G40" s="231"/>
      <c r="H40" s="446">
        <f>H728</f>
        <v>2725000</v>
      </c>
      <c r="I40" s="447">
        <f>I728</f>
        <v>572250</v>
      </c>
      <c r="J40" s="448">
        <f>SUM(H40:I40)</f>
        <v>3297250</v>
      </c>
      <c r="K40" s="367">
        <f>100/$H$62*H40</f>
        <v>4.8691850961764143</v>
      </c>
      <c r="L40" s="364" t="s">
        <v>258</v>
      </c>
    </row>
    <row r="41" spans="1:12" ht="9" customHeight="1" x14ac:dyDescent="0.2">
      <c r="A41" s="207"/>
      <c r="B41" s="155"/>
      <c r="C41" s="58"/>
      <c r="D41" s="59"/>
      <c r="E41" s="60"/>
      <c r="F41" s="61"/>
      <c r="G41" s="61"/>
      <c r="H41" s="104"/>
      <c r="I41" s="105"/>
      <c r="J41" s="105"/>
      <c r="K41" s="365"/>
      <c r="L41" s="365"/>
    </row>
    <row r="42" spans="1:12" s="41" customFormat="1" ht="17.100000000000001" customHeight="1" x14ac:dyDescent="0.2">
      <c r="A42" s="210"/>
      <c r="B42" s="154"/>
      <c r="C42" s="228">
        <v>18</v>
      </c>
      <c r="D42" s="229" t="str">
        <f>D730</f>
        <v>EFECTOS ESPECIALES</v>
      </c>
      <c r="E42" s="230"/>
      <c r="F42" s="231"/>
      <c r="G42" s="231"/>
      <c r="H42" s="446">
        <f>H734</f>
        <v>150000</v>
      </c>
      <c r="I42" s="447">
        <f>I734</f>
        <v>31500</v>
      </c>
      <c r="J42" s="448">
        <f>SUM(H42:I42)</f>
        <v>181500</v>
      </c>
      <c r="K42" s="367">
        <f>100/$H$62*H42</f>
        <v>0.26802853740420629</v>
      </c>
      <c r="L42" s="364" t="s">
        <v>258</v>
      </c>
    </row>
    <row r="43" spans="1:12" ht="9" customHeight="1" x14ac:dyDescent="0.2">
      <c r="A43" s="207"/>
      <c r="B43" s="155"/>
      <c r="C43" s="58"/>
      <c r="D43" s="59"/>
      <c r="E43" s="60"/>
      <c r="F43" s="61"/>
      <c r="G43" s="61"/>
      <c r="H43" s="104"/>
      <c r="I43" s="105"/>
      <c r="J43" s="105"/>
      <c r="K43" s="365"/>
      <c r="L43" s="365"/>
    </row>
    <row r="44" spans="1:12" s="41" customFormat="1" ht="17.100000000000001" customHeight="1" x14ac:dyDescent="0.2">
      <c r="A44" s="210"/>
      <c r="B44" s="154"/>
      <c r="C44" s="228">
        <v>19</v>
      </c>
      <c r="D44" s="229" t="str">
        <f>D736</f>
        <v>MOVILIDAD</v>
      </c>
      <c r="E44" s="230"/>
      <c r="F44" s="231"/>
      <c r="G44" s="231"/>
      <c r="H44" s="446">
        <f>H763</f>
        <v>3349750</v>
      </c>
      <c r="I44" s="447">
        <f>I763</f>
        <v>606795</v>
      </c>
      <c r="J44" s="448">
        <f>SUM(H44:I44)</f>
        <v>3956545</v>
      </c>
      <c r="K44" s="367">
        <f>100/$H$62*H44</f>
        <v>5.9855239544649343</v>
      </c>
      <c r="L44" s="364" t="s">
        <v>258</v>
      </c>
    </row>
    <row r="45" spans="1:12" ht="9" customHeight="1" x14ac:dyDescent="0.2">
      <c r="A45" s="207"/>
      <c r="B45" s="155"/>
      <c r="C45" s="58"/>
      <c r="D45" s="59"/>
      <c r="E45" s="60"/>
      <c r="F45" s="61"/>
      <c r="G45" s="61"/>
      <c r="H45" s="104"/>
      <c r="I45" s="105"/>
      <c r="J45" s="105"/>
      <c r="K45" s="365"/>
      <c r="L45" s="365"/>
    </row>
    <row r="46" spans="1:12" s="41" customFormat="1" ht="17.100000000000001" customHeight="1" x14ac:dyDescent="0.2">
      <c r="A46" s="210"/>
      <c r="B46" s="154"/>
      <c r="C46" s="228">
        <v>20</v>
      </c>
      <c r="D46" s="229" t="str">
        <f>D765</f>
        <v>FUERZA MOTRIZ</v>
      </c>
      <c r="E46" s="230"/>
      <c r="F46" s="231"/>
      <c r="G46" s="231"/>
      <c r="H46" s="446">
        <f>H772</f>
        <v>332500</v>
      </c>
      <c r="I46" s="447">
        <f>I772</f>
        <v>69825</v>
      </c>
      <c r="J46" s="448">
        <f>SUM(H46:I46)</f>
        <v>402325</v>
      </c>
      <c r="K46" s="367">
        <f>100/$H$62*H46</f>
        <v>0.59412992457932401</v>
      </c>
      <c r="L46" s="364" t="s">
        <v>258</v>
      </c>
    </row>
    <row r="47" spans="1:12" ht="9" customHeight="1" x14ac:dyDescent="0.2">
      <c r="A47" s="207"/>
      <c r="B47" s="155"/>
      <c r="C47" s="58"/>
      <c r="D47" s="59"/>
      <c r="E47" s="60"/>
      <c r="F47" s="61"/>
      <c r="G47" s="61"/>
      <c r="H47" s="104"/>
      <c r="I47" s="105"/>
      <c r="J47" s="105"/>
      <c r="K47" s="365"/>
      <c r="L47" s="365"/>
    </row>
    <row r="48" spans="1:12" s="41" customFormat="1" ht="17.100000000000001" customHeight="1" x14ac:dyDescent="0.2">
      <c r="A48" s="210"/>
      <c r="B48" s="154"/>
      <c r="C48" s="228">
        <v>21</v>
      </c>
      <c r="D48" s="229" t="str">
        <f>D774</f>
        <v>COMIDAS</v>
      </c>
      <c r="E48" s="230"/>
      <c r="F48" s="231"/>
      <c r="G48" s="231"/>
      <c r="H48" s="446">
        <f>H781</f>
        <v>1376650</v>
      </c>
      <c r="I48" s="447">
        <f>I781</f>
        <v>283500</v>
      </c>
      <c r="J48" s="448">
        <f>SUM(H48:I48)</f>
        <v>1660150</v>
      </c>
      <c r="K48" s="367">
        <f>100/$H$62*H48</f>
        <v>2.4598765734500043</v>
      </c>
      <c r="L48" s="364" t="s">
        <v>258</v>
      </c>
    </row>
    <row r="49" spans="1:12" ht="9" customHeight="1" x14ac:dyDescent="0.2">
      <c r="A49" s="207"/>
      <c r="B49" s="155"/>
      <c r="C49" s="58"/>
      <c r="D49" s="59"/>
      <c r="E49" s="60"/>
      <c r="F49" s="61"/>
      <c r="G49" s="61"/>
      <c r="H49" s="104"/>
      <c r="I49" s="105"/>
      <c r="J49" s="105"/>
      <c r="K49" s="365"/>
      <c r="L49" s="365"/>
    </row>
    <row r="50" spans="1:12" s="41" customFormat="1" ht="17.100000000000001" customHeight="1" x14ac:dyDescent="0.2">
      <c r="A50" s="210"/>
      <c r="B50" s="154"/>
      <c r="C50" s="228">
        <v>22</v>
      </c>
      <c r="D50" s="229" t="str">
        <f>D783</f>
        <v>ADMINISTRACION</v>
      </c>
      <c r="E50" s="230"/>
      <c r="F50" s="231"/>
      <c r="G50" s="231"/>
      <c r="H50" s="446">
        <f>H797</f>
        <v>1240750</v>
      </c>
      <c r="I50" s="447">
        <f>I797</f>
        <v>195142.5</v>
      </c>
      <c r="J50" s="448">
        <f>SUM(H50:I50)</f>
        <v>1435892.5</v>
      </c>
      <c r="K50" s="367">
        <f>100/$H$62*H50</f>
        <v>2.2170427185617934</v>
      </c>
      <c r="L50" s="364" t="s">
        <v>258</v>
      </c>
    </row>
    <row r="51" spans="1:12" ht="9" customHeight="1" x14ac:dyDescent="0.2">
      <c r="A51" s="207"/>
      <c r="B51" s="155"/>
      <c r="C51" s="58"/>
      <c r="D51" s="59"/>
      <c r="E51" s="60"/>
      <c r="F51" s="61"/>
      <c r="G51" s="61"/>
      <c r="H51" s="104"/>
      <c r="I51" s="105"/>
      <c r="J51" s="105"/>
      <c r="K51" s="365"/>
      <c r="L51" s="365"/>
    </row>
    <row r="52" spans="1:12" s="41" customFormat="1" ht="17.100000000000001" customHeight="1" x14ac:dyDescent="0.2">
      <c r="A52" s="210"/>
      <c r="B52" s="154"/>
      <c r="C52" s="228">
        <v>23</v>
      </c>
      <c r="D52" s="229" t="str">
        <f>D799</f>
        <v>SEGUROS</v>
      </c>
      <c r="E52" s="230"/>
      <c r="F52" s="231"/>
      <c r="G52" s="231"/>
      <c r="H52" s="446">
        <f>H803</f>
        <v>95000</v>
      </c>
      <c r="I52" s="447">
        <f>I803</f>
        <v>19950</v>
      </c>
      <c r="J52" s="448">
        <f>SUM(H52:I52)</f>
        <v>114950</v>
      </c>
      <c r="K52" s="367">
        <f>100/$H$62*H52</f>
        <v>0.169751407022664</v>
      </c>
      <c r="L52" s="364" t="s">
        <v>258</v>
      </c>
    </row>
    <row r="53" spans="1:12" s="41" customFormat="1" ht="6.75" customHeight="1" x14ac:dyDescent="0.2">
      <c r="A53" s="210"/>
      <c r="B53" s="307"/>
      <c r="C53" s="308"/>
      <c r="D53" s="309"/>
      <c r="E53" s="310"/>
      <c r="F53" s="311"/>
      <c r="G53" s="311"/>
      <c r="H53" s="449"/>
      <c r="I53" s="450"/>
      <c r="J53" s="450"/>
      <c r="K53" s="366"/>
      <c r="L53" s="366"/>
    </row>
    <row r="54" spans="1:12" s="41" customFormat="1" ht="17.100000000000001" customHeight="1" x14ac:dyDescent="0.2">
      <c r="A54" s="210"/>
      <c r="B54" s="154"/>
      <c r="C54" s="228">
        <v>24</v>
      </c>
      <c r="D54" s="229" t="s">
        <v>218</v>
      </c>
      <c r="E54" s="230"/>
      <c r="F54" s="231"/>
      <c r="G54" s="231"/>
      <c r="H54" s="446">
        <f>+H807</f>
        <v>150000</v>
      </c>
      <c r="I54" s="447">
        <f>+I807</f>
        <v>31500</v>
      </c>
      <c r="J54" s="448">
        <f>SUM(H54:I54)</f>
        <v>181500</v>
      </c>
      <c r="K54" s="367">
        <f>100/$H$62*H54</f>
        <v>0.26802853740420629</v>
      </c>
      <c r="L54" s="364" t="s">
        <v>258</v>
      </c>
    </row>
    <row r="55" spans="1:12" ht="6.75" customHeight="1" x14ac:dyDescent="0.2">
      <c r="A55" s="207"/>
      <c r="B55" s="155"/>
      <c r="C55" s="58"/>
      <c r="D55" s="59"/>
      <c r="E55" s="60"/>
      <c r="F55" s="61"/>
      <c r="G55" s="61"/>
      <c r="H55" s="104"/>
      <c r="I55" s="105"/>
      <c r="J55" s="105"/>
      <c r="K55" s="365"/>
      <c r="L55" s="365"/>
    </row>
    <row r="56" spans="1:12" s="41" customFormat="1" ht="17.100000000000001" customHeight="1" x14ac:dyDescent="0.2">
      <c r="A56" s="210"/>
      <c r="B56" s="154"/>
      <c r="C56" s="228">
        <v>25</v>
      </c>
      <c r="D56" s="229" t="str">
        <f>D809</f>
        <v>SEGURIDAD</v>
      </c>
      <c r="E56" s="230"/>
      <c r="F56" s="231"/>
      <c r="G56" s="231"/>
      <c r="H56" s="446">
        <f>H811</f>
        <v>90000</v>
      </c>
      <c r="I56" s="447">
        <f>I811</f>
        <v>18900</v>
      </c>
      <c r="J56" s="448">
        <f>SUM(H56:I56)</f>
        <v>108900</v>
      </c>
      <c r="K56" s="367">
        <f>100/$H$62*H56</f>
        <v>0.16081712244252377</v>
      </c>
      <c r="L56" s="364" t="s">
        <v>258</v>
      </c>
    </row>
    <row r="57" spans="1:12" ht="9" customHeight="1" x14ac:dyDescent="0.2">
      <c r="A57" s="207"/>
      <c r="B57" s="155"/>
      <c r="C57" s="99"/>
      <c r="D57" s="100"/>
      <c r="E57" s="101"/>
      <c r="F57" s="5"/>
      <c r="G57" s="5"/>
      <c r="H57" s="106"/>
      <c r="I57" s="107"/>
      <c r="J57" s="107"/>
      <c r="K57" s="365"/>
      <c r="L57" s="365"/>
    </row>
    <row r="58" spans="1:12" s="41" customFormat="1" ht="17.100000000000001" customHeight="1" x14ac:dyDescent="0.2">
      <c r="A58" s="210"/>
      <c r="B58" s="154"/>
      <c r="C58" s="228">
        <v>26</v>
      </c>
      <c r="D58" s="229" t="s">
        <v>201</v>
      </c>
      <c r="E58" s="230"/>
      <c r="F58" s="231"/>
      <c r="G58" s="231"/>
      <c r="H58" s="446">
        <f>+H817</f>
        <v>3217249.4536195453</v>
      </c>
      <c r="I58" s="447">
        <f>+I817</f>
        <v>0</v>
      </c>
      <c r="J58" s="448">
        <f>SUM(H58:I58)</f>
        <v>3217249.4536195453</v>
      </c>
      <c r="K58" s="367">
        <f>100/$H$62*H58</f>
        <v>5.7487644367875239</v>
      </c>
      <c r="L58" s="364" t="s">
        <v>258</v>
      </c>
    </row>
    <row r="59" spans="1:12" ht="9" customHeight="1" x14ac:dyDescent="0.2">
      <c r="A59" s="207"/>
      <c r="B59" s="155"/>
      <c r="C59" s="99"/>
      <c r="D59" s="100"/>
      <c r="E59" s="101"/>
      <c r="F59" s="5"/>
      <c r="G59" s="5"/>
      <c r="H59" s="106"/>
      <c r="I59" s="107"/>
      <c r="J59" s="107"/>
      <c r="K59" s="365"/>
      <c r="L59" s="365"/>
    </row>
    <row r="60" spans="1:12" s="41" customFormat="1" ht="17.100000000000001" customHeight="1" x14ac:dyDescent="0.2">
      <c r="A60" s="210"/>
      <c r="B60" s="154"/>
      <c r="C60" s="228">
        <v>27</v>
      </c>
      <c r="D60" s="229" t="s">
        <v>337</v>
      </c>
      <c r="E60" s="230"/>
      <c r="F60" s="231"/>
      <c r="G60" s="231"/>
      <c r="H60" s="446">
        <f>H821</f>
        <v>1527981.2788419877</v>
      </c>
      <c r="I60" s="447">
        <f>I821</f>
        <v>0</v>
      </c>
      <c r="J60" s="448">
        <f>SUM(H60:I60)</f>
        <v>1527981.2788419877</v>
      </c>
      <c r="K60" s="367">
        <f>100/$H$62*H60</f>
        <v>2.7302839156601779</v>
      </c>
      <c r="L60" s="364" t="s">
        <v>258</v>
      </c>
    </row>
    <row r="61" spans="1:12" ht="9" customHeight="1" thickBot="1" x14ac:dyDescent="0.25">
      <c r="A61" s="207"/>
      <c r="B61" s="155"/>
      <c r="C61" s="99"/>
      <c r="D61" s="100"/>
      <c r="E61" s="101"/>
      <c r="F61" s="5"/>
      <c r="G61" s="5"/>
      <c r="H61" s="106"/>
      <c r="I61" s="107"/>
      <c r="J61" s="107"/>
      <c r="K61" s="365"/>
      <c r="L61" s="365"/>
    </row>
    <row r="62" spans="1:12" s="44" customFormat="1" ht="20.100000000000001" customHeight="1" thickBot="1" x14ac:dyDescent="0.25">
      <c r="A62" s="211"/>
      <c r="B62" s="156"/>
      <c r="C62" s="206" t="s">
        <v>134</v>
      </c>
      <c r="D62" s="113"/>
      <c r="E62" s="114"/>
      <c r="F62" s="482" t="s">
        <v>92</v>
      </c>
      <c r="G62" s="483"/>
      <c r="H62" s="451">
        <f>SUM(H60+H58+H56+H54+H52+H50+H48+H46+H44+H42+H40+H38+H36+H34+H32+H30+H28+H26+H24+H22+H20+H18+H16+H14+H12+H10+H8)</f>
        <v>55964190.027194463</v>
      </c>
      <c r="I62" s="452">
        <f>SUM(I60+I58+I56+I54+I52+I50+I48+I46+I44+I42+I40+I38+I36+I34+I32+I30+I28+I26+I24+I22+I20+I18+I16+I14+I12+I10+I8)</f>
        <v>3697858.5</v>
      </c>
      <c r="J62" s="453">
        <f>SUM(H62:I62)</f>
        <v>59662048.527194463</v>
      </c>
      <c r="K62" s="221"/>
      <c r="L62" s="221"/>
    </row>
    <row r="63" spans="1:12" s="44" customFormat="1" ht="20.100000000000001" customHeight="1" thickBot="1" x14ac:dyDescent="0.25">
      <c r="A63" s="211"/>
      <c r="B63" s="219"/>
      <c r="C63" s="206"/>
      <c r="D63" s="113"/>
      <c r="E63" s="114"/>
      <c r="F63" s="464"/>
      <c r="G63" s="465" t="s">
        <v>362</v>
      </c>
      <c r="H63" s="466">
        <f>+H62*0.21</f>
        <v>11752479.905710837</v>
      </c>
      <c r="I63" s="454"/>
      <c r="J63" s="454"/>
      <c r="K63" s="221"/>
      <c r="L63" s="221"/>
    </row>
    <row r="64" spans="1:12" s="44" customFormat="1" ht="20.100000000000001" customHeight="1" thickBot="1" x14ac:dyDescent="0.25">
      <c r="A64" s="211"/>
      <c r="B64" s="294"/>
      <c r="C64" s="206"/>
      <c r="D64" s="113"/>
      <c r="E64" s="114"/>
      <c r="F64" s="484" t="s">
        <v>363</v>
      </c>
      <c r="G64" s="485"/>
      <c r="H64" s="467">
        <f>+H63+H62</f>
        <v>67716669.932905301</v>
      </c>
      <c r="I64" s="454"/>
      <c r="J64" s="454"/>
      <c r="K64" s="221"/>
      <c r="L64" s="221"/>
    </row>
    <row r="65" spans="1:12" s="44" customFormat="1" ht="20.100000000000001" customHeight="1" thickBot="1" x14ac:dyDescent="0.25">
      <c r="A65" s="211"/>
      <c r="B65" s="294"/>
      <c r="C65" s="206"/>
      <c r="D65" s="113"/>
      <c r="E65" s="114"/>
      <c r="F65" s="220"/>
      <c r="G65" s="220"/>
      <c r="H65" s="454"/>
      <c r="I65" s="454"/>
      <c r="J65" s="454"/>
      <c r="K65" s="221"/>
      <c r="L65" s="221"/>
    </row>
    <row r="66" spans="1:12" s="39" customFormat="1" ht="21" customHeight="1" thickBot="1" x14ac:dyDescent="0.25">
      <c r="A66" s="212"/>
      <c r="B66" s="163"/>
      <c r="C66" s="206"/>
      <c r="D66" s="113"/>
      <c r="E66" s="114"/>
      <c r="F66" s="490" t="s">
        <v>267</v>
      </c>
      <c r="G66" s="483"/>
      <c r="H66" s="451">
        <f>H62/$J$5</f>
        <v>5596419.0027194461</v>
      </c>
      <c r="I66" s="452">
        <f>I62/$J$5</f>
        <v>369785.85</v>
      </c>
      <c r="J66" s="453">
        <f>J62/$J$5</f>
        <v>5966204.8527194466</v>
      </c>
      <c r="K66" s="221"/>
      <c r="L66" s="221"/>
    </row>
    <row r="67" spans="1:12" s="39" customFormat="1" ht="21" customHeight="1" thickTop="1" thickBot="1" x14ac:dyDescent="0.25">
      <c r="A67" s="212"/>
      <c r="B67" s="260"/>
      <c r="C67" s="206"/>
      <c r="D67" s="113"/>
      <c r="E67" s="114"/>
      <c r="F67" s="464"/>
      <c r="G67" s="465" t="s">
        <v>362</v>
      </c>
      <c r="H67" s="466">
        <f>+H66*0.21</f>
        <v>1175247.9905710837</v>
      </c>
      <c r="I67" s="469"/>
      <c r="J67" s="469"/>
      <c r="K67" s="221"/>
      <c r="L67" s="221"/>
    </row>
    <row r="68" spans="1:12" s="39" customFormat="1" ht="21" customHeight="1" thickBot="1" x14ac:dyDescent="0.25">
      <c r="A68" s="212"/>
      <c r="B68" s="260"/>
      <c r="C68" s="53"/>
      <c r="D68" s="468"/>
      <c r="E68" s="4"/>
      <c r="F68" s="484" t="s">
        <v>364</v>
      </c>
      <c r="G68" s="485"/>
      <c r="H68" s="467">
        <f>+H67+H66</f>
        <v>6771666.9932905296</v>
      </c>
      <c r="I68" s="469"/>
      <c r="J68" s="469"/>
      <c r="K68" s="221"/>
      <c r="L68" s="221"/>
    </row>
    <row r="69" spans="1:12" s="39" customFormat="1" ht="21" customHeight="1" thickBot="1" x14ac:dyDescent="0.25">
      <c r="A69" s="212"/>
      <c r="B69" s="163"/>
      <c r="C69" s="164"/>
      <c r="D69" s="168"/>
      <c r="E69" s="169"/>
      <c r="F69" s="169"/>
      <c r="G69" s="169"/>
      <c r="H69" s="169"/>
      <c r="I69" s="169"/>
      <c r="J69" s="169"/>
      <c r="K69" s="169"/>
      <c r="L69" s="169"/>
    </row>
    <row r="70" spans="1:12" s="42" customFormat="1" ht="33" customHeight="1" thickTop="1" thickBot="1" x14ac:dyDescent="0.25">
      <c r="A70" s="207"/>
      <c r="B70" s="152"/>
      <c r="C70" s="170"/>
      <c r="D70" s="6"/>
      <c r="E70" s="171"/>
      <c r="F70" s="171"/>
      <c r="G70" s="431"/>
      <c r="H70" s="171"/>
      <c r="I70" s="43"/>
      <c r="J70" s="43"/>
      <c r="K70" s="43"/>
      <c r="L70" s="43"/>
    </row>
    <row r="71" spans="1:12" s="41" customFormat="1" ht="20.100000000000001" customHeight="1" thickBot="1" x14ac:dyDescent="0.25">
      <c r="A71" s="210"/>
      <c r="B71" s="157"/>
      <c r="C71" s="54"/>
      <c r="D71" s="232" t="s">
        <v>62</v>
      </c>
      <c r="E71" s="171"/>
      <c r="F71" s="171"/>
      <c r="G71" s="171"/>
      <c r="H71" s="171"/>
      <c r="I71" s="98"/>
      <c r="J71" s="98"/>
      <c r="K71" s="98"/>
      <c r="L71" s="98"/>
    </row>
    <row r="72" spans="1:12" s="42" customFormat="1" ht="30" customHeight="1" x14ac:dyDescent="0.2">
      <c r="A72" s="207"/>
      <c r="B72" s="152"/>
      <c r="C72" s="55"/>
      <c r="D72" s="6"/>
      <c r="E72" s="7"/>
      <c r="F72" s="8"/>
      <c r="G72" s="8"/>
      <c r="H72" s="9"/>
      <c r="I72" s="43"/>
      <c r="J72" s="43"/>
      <c r="K72" s="43"/>
      <c r="L72" s="43"/>
    </row>
    <row r="73" spans="1:12" s="44" customFormat="1" ht="15" customHeight="1" x14ac:dyDescent="0.2">
      <c r="A73" s="211"/>
      <c r="B73" s="158"/>
      <c r="C73" s="228">
        <v>1</v>
      </c>
      <c r="D73" s="233" t="s">
        <v>5</v>
      </c>
      <c r="E73" s="241" t="s">
        <v>74</v>
      </c>
      <c r="F73" s="242" t="s">
        <v>39</v>
      </c>
      <c r="G73" s="243" t="s">
        <v>40</v>
      </c>
      <c r="H73" s="240" t="s">
        <v>53</v>
      </c>
      <c r="I73" s="244" t="s">
        <v>55</v>
      </c>
      <c r="J73" s="244" t="s">
        <v>121</v>
      </c>
      <c r="K73" s="43"/>
      <c r="L73" s="43"/>
    </row>
    <row r="74" spans="1:12" ht="15" customHeight="1" x14ac:dyDescent="0.2">
      <c r="A74" s="207"/>
      <c r="B74" s="155"/>
      <c r="C74" s="53"/>
      <c r="D74" s="195" t="s">
        <v>115</v>
      </c>
      <c r="E74" s="108" t="s">
        <v>111</v>
      </c>
      <c r="F74" s="28"/>
      <c r="G74" s="109">
        <v>0</v>
      </c>
      <c r="H74" s="24">
        <f t="shared" ref="H74:H79" si="0">F74*G74</f>
        <v>0</v>
      </c>
      <c r="I74" s="116">
        <v>0</v>
      </c>
      <c r="J74" s="116">
        <f t="shared" ref="J74:J79" si="1">H74+I74</f>
        <v>0</v>
      </c>
      <c r="K74" s="43"/>
      <c r="L74" s="43"/>
    </row>
    <row r="75" spans="1:12" ht="15" customHeight="1" x14ac:dyDescent="0.2">
      <c r="A75" s="207"/>
      <c r="B75" s="155"/>
      <c r="C75" s="53"/>
      <c r="D75" s="196" t="s">
        <v>141</v>
      </c>
      <c r="E75" s="77" t="s">
        <v>111</v>
      </c>
      <c r="F75" s="22">
        <v>140000</v>
      </c>
      <c r="G75" s="16">
        <v>10</v>
      </c>
      <c r="H75" s="24">
        <f>F75*G75</f>
        <v>1400000</v>
      </c>
      <c r="I75" s="116">
        <f>+H75*21%</f>
        <v>294000</v>
      </c>
      <c r="J75" s="116">
        <f>H75+I75</f>
        <v>1694000</v>
      </c>
      <c r="K75" s="43"/>
      <c r="L75" s="43"/>
    </row>
    <row r="76" spans="1:12" ht="15" customHeight="1" x14ac:dyDescent="0.2">
      <c r="A76" s="207"/>
      <c r="B76" s="155"/>
      <c r="C76" s="53"/>
      <c r="D76" s="196" t="s">
        <v>88</v>
      </c>
      <c r="E76" s="77" t="s">
        <v>111</v>
      </c>
      <c r="F76" s="23">
        <v>0</v>
      </c>
      <c r="G76" s="16">
        <v>0</v>
      </c>
      <c r="H76" s="24">
        <f t="shared" si="0"/>
        <v>0</v>
      </c>
      <c r="I76" s="116">
        <v>0</v>
      </c>
      <c r="J76" s="116">
        <f t="shared" si="1"/>
        <v>0</v>
      </c>
      <c r="K76" s="43"/>
      <c r="L76" s="43"/>
    </row>
    <row r="77" spans="1:12" ht="15" customHeight="1" x14ac:dyDescent="0.2">
      <c r="A77" s="207"/>
      <c r="B77" s="155"/>
      <c r="C77" s="53"/>
      <c r="D77" s="197" t="s">
        <v>114</v>
      </c>
      <c r="E77" s="77" t="s">
        <v>111</v>
      </c>
      <c r="F77" s="24">
        <v>0</v>
      </c>
      <c r="G77" s="16">
        <v>0</v>
      </c>
      <c r="H77" s="24">
        <f t="shared" si="0"/>
        <v>0</v>
      </c>
      <c r="I77" s="116">
        <v>0</v>
      </c>
      <c r="J77" s="116">
        <f t="shared" si="1"/>
        <v>0</v>
      </c>
      <c r="K77" s="43"/>
      <c r="L77" s="43"/>
    </row>
    <row r="78" spans="1:12" ht="15" customHeight="1" x14ac:dyDescent="0.2">
      <c r="A78" s="207"/>
      <c r="B78" s="155"/>
      <c r="C78" s="53"/>
      <c r="D78" s="397" t="s">
        <v>49</v>
      </c>
      <c r="E78" s="77" t="s">
        <v>111</v>
      </c>
      <c r="F78" s="24">
        <v>2500</v>
      </c>
      <c r="G78" s="16">
        <v>10</v>
      </c>
      <c r="H78" s="24">
        <f>F78*G78</f>
        <v>25000</v>
      </c>
      <c r="I78" s="116">
        <v>0</v>
      </c>
      <c r="J78" s="116">
        <f t="shared" si="1"/>
        <v>25000</v>
      </c>
      <c r="K78" s="43"/>
      <c r="L78" s="43"/>
    </row>
    <row r="79" spans="1:12" ht="15" customHeight="1" x14ac:dyDescent="0.2">
      <c r="A79" s="207"/>
      <c r="B79" s="155"/>
      <c r="C79" s="53"/>
      <c r="D79" s="196" t="s">
        <v>61</v>
      </c>
      <c r="E79" s="77" t="s">
        <v>111</v>
      </c>
      <c r="F79" s="24">
        <v>0</v>
      </c>
      <c r="G79" s="16">
        <v>0</v>
      </c>
      <c r="H79" s="24">
        <f t="shared" si="0"/>
        <v>0</v>
      </c>
      <c r="I79" s="116">
        <v>0</v>
      </c>
      <c r="J79" s="116">
        <f t="shared" si="1"/>
        <v>0</v>
      </c>
      <c r="K79" s="43"/>
      <c r="L79" s="43"/>
    </row>
    <row r="80" spans="1:12" s="44" customFormat="1" ht="15" customHeight="1" x14ac:dyDescent="0.2">
      <c r="A80" s="211"/>
      <c r="B80" s="156"/>
      <c r="C80" s="112">
        <f>SUM(C74:C79)</f>
        <v>0</v>
      </c>
      <c r="D80" s="111"/>
      <c r="E80" s="85"/>
      <c r="F80" s="473" t="s">
        <v>81</v>
      </c>
      <c r="G80" s="474" t="s">
        <v>92</v>
      </c>
      <c r="H80" s="246">
        <f>SUM(H74:H79)</f>
        <v>1425000</v>
      </c>
      <c r="I80" s="245">
        <f>SUM(I74:I79)</f>
        <v>294000</v>
      </c>
      <c r="J80" s="245">
        <f>H80</f>
        <v>1425000</v>
      </c>
      <c r="K80" s="43"/>
      <c r="L80" s="43"/>
    </row>
    <row r="81" spans="1:12" s="42" customFormat="1" ht="30" customHeight="1" x14ac:dyDescent="0.2">
      <c r="A81" s="207"/>
      <c r="B81" s="152"/>
      <c r="C81" s="55"/>
      <c r="D81" s="6"/>
      <c r="E81" s="7"/>
      <c r="F81" s="8"/>
      <c r="G81" s="8"/>
      <c r="H81" s="9"/>
      <c r="I81" s="43"/>
      <c r="J81" s="43"/>
      <c r="K81" s="43"/>
      <c r="L81" s="43"/>
    </row>
    <row r="82" spans="1:12" s="44" customFormat="1" ht="15" customHeight="1" x14ac:dyDescent="0.2">
      <c r="A82" s="211"/>
      <c r="B82" s="158"/>
      <c r="C82" s="228">
        <v>2</v>
      </c>
      <c r="D82" s="233" t="s">
        <v>37</v>
      </c>
      <c r="E82" s="241" t="s">
        <v>74</v>
      </c>
      <c r="F82" s="242" t="s">
        <v>39</v>
      </c>
      <c r="G82" s="243" t="s">
        <v>40</v>
      </c>
      <c r="H82" s="240" t="s">
        <v>53</v>
      </c>
      <c r="I82" s="244" t="s">
        <v>55</v>
      </c>
      <c r="J82" s="244" t="s">
        <v>121</v>
      </c>
      <c r="K82" s="43"/>
      <c r="L82" s="43"/>
    </row>
    <row r="83" spans="1:12" s="45" customFormat="1" ht="15" customHeight="1" x14ac:dyDescent="0.2">
      <c r="A83" s="207"/>
      <c r="B83" s="155"/>
      <c r="C83" s="13">
        <v>1</v>
      </c>
      <c r="D83" s="196" t="s">
        <v>31</v>
      </c>
      <c r="E83" s="77" t="s">
        <v>111</v>
      </c>
      <c r="F83" s="24">
        <v>250000</v>
      </c>
      <c r="G83" s="110">
        <v>6.5</v>
      </c>
      <c r="H83" s="30">
        <f>F83*G83</f>
        <v>1625000</v>
      </c>
      <c r="I83" s="71">
        <f>H83*21%</f>
        <v>341250</v>
      </c>
      <c r="J83" s="71">
        <f>H83+I83</f>
        <v>1966250</v>
      </c>
      <c r="K83" s="43"/>
      <c r="L83" s="43"/>
    </row>
    <row r="84" spans="1:12" s="45" customFormat="1" ht="15" customHeight="1" x14ac:dyDescent="0.2">
      <c r="A84" s="207"/>
      <c r="B84" s="155"/>
      <c r="C84" s="13"/>
      <c r="D84" s="196" t="s">
        <v>10</v>
      </c>
      <c r="E84" s="77" t="s">
        <v>111</v>
      </c>
      <c r="F84" s="24">
        <v>0</v>
      </c>
      <c r="G84" s="110">
        <v>1</v>
      </c>
      <c r="H84" s="30">
        <f>F84*G84</f>
        <v>0</v>
      </c>
      <c r="I84" s="71">
        <v>0</v>
      </c>
      <c r="J84" s="71">
        <f>H84</f>
        <v>0</v>
      </c>
      <c r="K84" s="43"/>
      <c r="L84" s="43"/>
    </row>
    <row r="85" spans="1:12" s="45" customFormat="1" ht="15" customHeight="1" x14ac:dyDescent="0.2">
      <c r="A85" s="207"/>
      <c r="B85" s="155"/>
      <c r="C85" s="13"/>
      <c r="D85" s="196" t="s">
        <v>11</v>
      </c>
      <c r="E85" s="77" t="s">
        <v>111</v>
      </c>
      <c r="F85" s="24">
        <v>0</v>
      </c>
      <c r="G85" s="110">
        <v>1</v>
      </c>
      <c r="H85" s="30">
        <f>F85*G85</f>
        <v>0</v>
      </c>
      <c r="I85" s="71">
        <v>0</v>
      </c>
      <c r="J85" s="71">
        <f>H85</f>
        <v>0</v>
      </c>
      <c r="K85" s="43"/>
      <c r="L85" s="43"/>
    </row>
    <row r="86" spans="1:12" s="44" customFormat="1" ht="15" customHeight="1" x14ac:dyDescent="0.2">
      <c r="A86" s="211"/>
      <c r="B86" s="156"/>
      <c r="C86" s="112">
        <f>SUM(C83:C85)</f>
        <v>1</v>
      </c>
      <c r="D86" s="111"/>
      <c r="E86" s="85"/>
      <c r="F86" s="473" t="s">
        <v>82</v>
      </c>
      <c r="G86" s="474" t="s">
        <v>92</v>
      </c>
      <c r="H86" s="246">
        <f>SUM(H83:H85)</f>
        <v>1625000</v>
      </c>
      <c r="I86" s="245">
        <f>SUM(I83:I85)</f>
        <v>341250</v>
      </c>
      <c r="J86" s="245">
        <f>SUM(J83:J85)</f>
        <v>1966250</v>
      </c>
      <c r="K86" s="43"/>
      <c r="L86" s="43"/>
    </row>
    <row r="87" spans="1:12" s="42" customFormat="1" ht="30" customHeight="1" x14ac:dyDescent="0.2">
      <c r="A87" s="207"/>
      <c r="B87" s="152"/>
      <c r="C87" s="55"/>
      <c r="D87" s="6"/>
      <c r="E87" s="7"/>
      <c r="F87" s="8"/>
      <c r="G87" s="8"/>
      <c r="H87" s="9"/>
      <c r="I87" s="43"/>
      <c r="J87" s="43"/>
      <c r="K87" s="43"/>
      <c r="L87" s="43"/>
    </row>
    <row r="88" spans="1:12" s="44" customFormat="1" ht="15" customHeight="1" x14ac:dyDescent="0.2">
      <c r="A88" s="211"/>
      <c r="B88" s="158"/>
      <c r="C88" s="228">
        <v>3</v>
      </c>
      <c r="D88" s="233" t="s">
        <v>38</v>
      </c>
      <c r="E88" s="241" t="s">
        <v>74</v>
      </c>
      <c r="F88" s="242" t="s">
        <v>39</v>
      </c>
      <c r="G88" s="243" t="s">
        <v>40</v>
      </c>
      <c r="H88" s="240" t="s">
        <v>53</v>
      </c>
      <c r="I88" s="244" t="s">
        <v>55</v>
      </c>
      <c r="J88" s="244" t="s">
        <v>121</v>
      </c>
      <c r="K88" s="43"/>
      <c r="L88" s="43"/>
    </row>
    <row r="89" spans="1:12" s="45" customFormat="1" ht="15" customHeight="1" x14ac:dyDescent="0.2">
      <c r="A89" s="207"/>
      <c r="B89" s="155"/>
      <c r="C89" s="53"/>
      <c r="D89" s="196" t="s">
        <v>76</v>
      </c>
      <c r="E89" s="77" t="s">
        <v>111</v>
      </c>
      <c r="F89" s="24">
        <v>0</v>
      </c>
      <c r="G89" s="16">
        <v>0</v>
      </c>
      <c r="H89" s="24">
        <f>F89*G89</f>
        <v>0</v>
      </c>
      <c r="I89" s="71">
        <v>0</v>
      </c>
      <c r="J89" s="71">
        <f>H89</f>
        <v>0</v>
      </c>
      <c r="K89" s="43"/>
      <c r="L89" s="43"/>
    </row>
    <row r="90" spans="1:12" s="45" customFormat="1" ht="15" customHeight="1" x14ac:dyDescent="0.2">
      <c r="A90" s="207"/>
      <c r="B90" s="155"/>
      <c r="C90" s="13">
        <v>1</v>
      </c>
      <c r="D90" s="196" t="s">
        <v>42</v>
      </c>
      <c r="E90" s="77" t="s">
        <v>111</v>
      </c>
      <c r="F90" s="24">
        <v>150000</v>
      </c>
      <c r="G90" s="110">
        <v>6.5</v>
      </c>
      <c r="H90" s="30">
        <f>F90*G90</f>
        <v>975000</v>
      </c>
      <c r="I90" s="71">
        <f>H90*21%</f>
        <v>204750</v>
      </c>
      <c r="J90" s="71">
        <f>H90+I90</f>
        <v>1179750</v>
      </c>
      <c r="K90" s="43"/>
      <c r="L90" s="43"/>
    </row>
    <row r="91" spans="1:12" s="45" customFormat="1" ht="15" customHeight="1" x14ac:dyDescent="0.2">
      <c r="A91" s="207"/>
      <c r="B91" s="155"/>
      <c r="C91" s="13"/>
      <c r="D91" s="196" t="s">
        <v>48</v>
      </c>
      <c r="E91" s="77" t="s">
        <v>111</v>
      </c>
      <c r="F91" s="24">
        <v>0</v>
      </c>
      <c r="G91" s="110">
        <v>0</v>
      </c>
      <c r="H91" s="30">
        <f>F91*G91</f>
        <v>0</v>
      </c>
      <c r="I91" s="71">
        <v>0</v>
      </c>
      <c r="J91" s="71">
        <f>H91</f>
        <v>0</v>
      </c>
      <c r="K91" s="43"/>
      <c r="L91" s="43"/>
    </row>
    <row r="92" spans="1:12" s="45" customFormat="1" ht="15" customHeight="1" x14ac:dyDescent="0.2">
      <c r="A92" s="207"/>
      <c r="B92" s="155"/>
      <c r="C92" s="13"/>
      <c r="D92" s="196" t="s">
        <v>105</v>
      </c>
      <c r="E92" s="77" t="s">
        <v>112</v>
      </c>
      <c r="F92" s="24">
        <v>0</v>
      </c>
      <c r="G92" s="110">
        <v>0</v>
      </c>
      <c r="H92" s="30">
        <f>F92*G92</f>
        <v>0</v>
      </c>
      <c r="I92" s="71">
        <v>0</v>
      </c>
      <c r="J92" s="71">
        <f>H92</f>
        <v>0</v>
      </c>
      <c r="K92" s="43"/>
      <c r="L92" s="43"/>
    </row>
    <row r="93" spans="1:12" s="44" customFormat="1" ht="15" customHeight="1" x14ac:dyDescent="0.2">
      <c r="A93" s="211"/>
      <c r="B93" s="156"/>
      <c r="C93" s="112">
        <f>SUM(C89:C92)</f>
        <v>1</v>
      </c>
      <c r="D93" s="111"/>
      <c r="E93" s="85"/>
      <c r="F93" s="473" t="s">
        <v>83</v>
      </c>
      <c r="G93" s="474" t="s">
        <v>92</v>
      </c>
      <c r="H93" s="246">
        <f>SUM(H89:H92)</f>
        <v>975000</v>
      </c>
      <c r="I93" s="245">
        <f>SUM(I89:I92)</f>
        <v>204750</v>
      </c>
      <c r="J93" s="245">
        <f>SUM(J89:J92)</f>
        <v>1179750</v>
      </c>
      <c r="K93" s="43"/>
      <c r="L93" s="43"/>
    </row>
    <row r="94" spans="1:12" s="42" customFormat="1" ht="30" customHeight="1" x14ac:dyDescent="0.2">
      <c r="A94" s="207"/>
      <c r="B94" s="152"/>
      <c r="C94" s="55"/>
      <c r="D94" s="6"/>
      <c r="E94" s="7"/>
      <c r="F94" s="8"/>
      <c r="G94" s="8"/>
      <c r="H94" s="9"/>
      <c r="I94" s="43"/>
      <c r="J94" s="43"/>
      <c r="K94" s="43"/>
      <c r="L94" s="43"/>
    </row>
    <row r="95" spans="1:12" s="44" customFormat="1" ht="15" customHeight="1" x14ac:dyDescent="0.2">
      <c r="A95" s="211"/>
      <c r="B95" s="158"/>
      <c r="C95" s="247">
        <v>4</v>
      </c>
      <c r="D95" s="233" t="s">
        <v>126</v>
      </c>
      <c r="E95" s="241" t="s">
        <v>74</v>
      </c>
      <c r="F95" s="242" t="s">
        <v>39</v>
      </c>
      <c r="G95" s="243" t="s">
        <v>40</v>
      </c>
      <c r="H95" s="240" t="s">
        <v>53</v>
      </c>
      <c r="I95" s="244" t="s">
        <v>55</v>
      </c>
      <c r="J95" s="244" t="s">
        <v>121</v>
      </c>
      <c r="K95" s="43"/>
      <c r="L95" s="43"/>
    </row>
    <row r="96" spans="1:12" s="76" customFormat="1" ht="15" customHeight="1" x14ac:dyDescent="0.2">
      <c r="A96" s="213"/>
      <c r="B96" s="159"/>
      <c r="C96" s="13"/>
      <c r="D96" s="457" t="s">
        <v>339</v>
      </c>
      <c r="E96" s="81"/>
      <c r="F96" s="72"/>
      <c r="G96" s="73"/>
      <c r="H96" s="126"/>
      <c r="I96" s="46"/>
      <c r="J96" s="46"/>
      <c r="K96" s="43"/>
      <c r="L96" s="43"/>
    </row>
    <row r="97" spans="1:12" s="76" customFormat="1" ht="15" customHeight="1" x14ac:dyDescent="0.2">
      <c r="A97" s="302"/>
      <c r="B97" s="265"/>
      <c r="C97" s="13"/>
      <c r="D97" s="303" t="s">
        <v>216</v>
      </c>
      <c r="E97" s="81"/>
      <c r="F97" s="72"/>
      <c r="G97" s="73"/>
      <c r="H97" s="304"/>
      <c r="I97" s="46"/>
      <c r="J97" s="46"/>
      <c r="K97" s="43"/>
      <c r="L97" s="43"/>
    </row>
    <row r="98" spans="1:12" s="76" customFormat="1" ht="15" customHeight="1" x14ac:dyDescent="0.2">
      <c r="A98" s="213"/>
      <c r="B98" s="159"/>
      <c r="C98" s="13">
        <v>1</v>
      </c>
      <c r="D98" s="198" t="s">
        <v>142</v>
      </c>
      <c r="E98" s="66"/>
      <c r="F98" s="181"/>
      <c r="G98" s="45"/>
      <c r="H98" s="182"/>
      <c r="I98" s="183"/>
      <c r="J98" s="117"/>
      <c r="K98" s="43"/>
      <c r="L98" s="43"/>
    </row>
    <row r="99" spans="1:12" s="76" customFormat="1" x14ac:dyDescent="0.2">
      <c r="A99" s="213"/>
      <c r="B99" s="180"/>
      <c r="C99" s="53"/>
      <c r="D99" s="64" t="s">
        <v>84</v>
      </c>
      <c r="E99" s="66" t="s">
        <v>138</v>
      </c>
      <c r="F99" s="184">
        <v>58032.75</v>
      </c>
      <c r="G99" s="52">
        <v>2</v>
      </c>
      <c r="H99" s="24">
        <f>+G99*F99</f>
        <v>116065.5</v>
      </c>
      <c r="I99" s="185"/>
      <c r="J99" s="68"/>
      <c r="K99" s="43"/>
      <c r="L99" s="43"/>
    </row>
    <row r="100" spans="1:12" s="76" customFormat="1" x14ac:dyDescent="0.2">
      <c r="A100" s="213"/>
      <c r="B100" s="180"/>
      <c r="C100" s="53"/>
      <c r="D100" s="64" t="s">
        <v>78</v>
      </c>
      <c r="E100" s="66" t="s">
        <v>138</v>
      </c>
      <c r="F100" s="184">
        <v>58032.75</v>
      </c>
      <c r="G100" s="186">
        <v>2.5</v>
      </c>
      <c r="H100" s="24">
        <f>+G100*F100</f>
        <v>145081.875</v>
      </c>
      <c r="I100" s="185"/>
      <c r="J100" s="68"/>
      <c r="K100" s="43"/>
      <c r="L100" s="43"/>
    </row>
    <row r="101" spans="1:12" s="76" customFormat="1" x14ac:dyDescent="0.2">
      <c r="A101" s="213"/>
      <c r="B101" s="180"/>
      <c r="C101" s="53"/>
      <c r="D101" s="64" t="s">
        <v>140</v>
      </c>
      <c r="E101" s="342">
        <f>22*3</f>
        <v>66</v>
      </c>
      <c r="F101" s="184">
        <v>527.57000000000005</v>
      </c>
      <c r="G101" s="52">
        <f>+F105</f>
        <v>5.5</v>
      </c>
      <c r="H101" s="24">
        <f>+G101*F101*E101</f>
        <v>191507.91</v>
      </c>
      <c r="I101" s="185"/>
      <c r="J101" s="68"/>
      <c r="K101" s="43"/>
      <c r="L101" s="43"/>
    </row>
    <row r="102" spans="1:12" s="76" customFormat="1" x14ac:dyDescent="0.2">
      <c r="A102" s="213"/>
      <c r="B102" s="180"/>
      <c r="C102" s="53"/>
      <c r="D102" s="64" t="s">
        <v>14</v>
      </c>
      <c r="E102" s="10" t="s">
        <v>113</v>
      </c>
      <c r="F102" s="184">
        <v>0</v>
      </c>
      <c r="G102" s="24">
        <f>$H$3</f>
        <v>50</v>
      </c>
      <c r="H102" s="24">
        <f>+G102*F102</f>
        <v>0</v>
      </c>
      <c r="I102" s="185"/>
      <c r="J102" s="68"/>
      <c r="K102" s="43"/>
      <c r="L102" s="43"/>
    </row>
    <row r="103" spans="1:12" s="76" customFormat="1" x14ac:dyDescent="0.2">
      <c r="A103" s="213"/>
      <c r="B103" s="180"/>
      <c r="C103" s="53"/>
      <c r="D103" s="64" t="s">
        <v>16</v>
      </c>
      <c r="E103" s="10" t="s">
        <v>113</v>
      </c>
      <c r="F103" s="184">
        <v>0</v>
      </c>
      <c r="G103" s="24">
        <f>$H$4</f>
        <v>40</v>
      </c>
      <c r="H103" s="24">
        <f>+G103*F103</f>
        <v>0</v>
      </c>
      <c r="I103" s="185"/>
      <c r="J103" s="68"/>
      <c r="K103" s="43"/>
      <c r="L103" s="43"/>
    </row>
    <row r="104" spans="1:12" s="76" customFormat="1" x14ac:dyDescent="0.2">
      <c r="A104" s="213"/>
      <c r="B104" s="180"/>
      <c r="C104" s="53"/>
      <c r="D104" s="64" t="s">
        <v>13</v>
      </c>
      <c r="E104" s="66" t="s">
        <v>59</v>
      </c>
      <c r="F104" s="184">
        <v>58032.75</v>
      </c>
      <c r="G104" s="24">
        <v>1</v>
      </c>
      <c r="H104" s="24">
        <f>+G104*F104</f>
        <v>58032.75</v>
      </c>
      <c r="I104" s="185"/>
      <c r="J104" s="68"/>
      <c r="K104" s="43"/>
      <c r="L104" s="43"/>
    </row>
    <row r="105" spans="1:12" s="76" customFormat="1" x14ac:dyDescent="0.2">
      <c r="A105" s="213"/>
      <c r="B105" s="180"/>
      <c r="C105" s="53"/>
      <c r="D105" s="64" t="s">
        <v>139</v>
      </c>
      <c r="E105" s="326" t="s">
        <v>111</v>
      </c>
      <c r="F105" s="327">
        <f>+G99+G100+G104</f>
        <v>5.5</v>
      </c>
      <c r="G105" s="187" t="s">
        <v>130</v>
      </c>
      <c r="H105" s="188">
        <f>SUM(H99:H104)</f>
        <v>510688.03500000003</v>
      </c>
      <c r="I105" s="185"/>
      <c r="J105" s="68"/>
      <c r="K105" s="43"/>
      <c r="L105" s="43"/>
    </row>
    <row r="106" spans="1:12" s="76" customFormat="1" x14ac:dyDescent="0.2">
      <c r="A106" s="213"/>
      <c r="B106" s="180"/>
      <c r="C106" s="53"/>
      <c r="D106" s="93" t="s">
        <v>129</v>
      </c>
      <c r="E106" s="326" t="s">
        <v>111</v>
      </c>
      <c r="F106" s="328"/>
      <c r="G106" s="329"/>
      <c r="H106" s="188">
        <f>H105*8.33%</f>
        <v>42540.313315500003</v>
      </c>
      <c r="I106" s="189"/>
      <c r="J106" s="179"/>
      <c r="K106" s="43"/>
      <c r="L106" s="43"/>
    </row>
    <row r="107" spans="1:12" s="76" customFormat="1" x14ac:dyDescent="0.2">
      <c r="A107" s="213"/>
      <c r="B107" s="180"/>
      <c r="C107" s="53"/>
      <c r="D107" s="361" t="s">
        <v>257</v>
      </c>
      <c r="E107" s="330" t="s">
        <v>73</v>
      </c>
      <c r="F107" s="328"/>
      <c r="G107" s="331"/>
      <c r="H107" s="188">
        <f>H105*7%</f>
        <v>35748.162450000003</v>
      </c>
      <c r="I107" s="190">
        <v>0</v>
      </c>
      <c r="J107" s="79">
        <f>+(H105+H106+H107)*C98</f>
        <v>588976.51076550013</v>
      </c>
      <c r="K107" s="43"/>
      <c r="L107" s="43"/>
    </row>
    <row r="108" spans="1:12" s="76" customFormat="1" x14ac:dyDescent="0.2">
      <c r="A108" s="213"/>
      <c r="B108" s="180"/>
      <c r="C108" s="53"/>
      <c r="D108" s="80"/>
      <c r="E108" s="332"/>
      <c r="F108" s="333"/>
      <c r="G108" s="334"/>
      <c r="H108" s="335"/>
      <c r="I108" s="192"/>
      <c r="J108" s="68"/>
      <c r="K108" s="43"/>
      <c r="L108" s="43"/>
    </row>
    <row r="109" spans="1:12" s="76" customFormat="1" ht="15" customHeight="1" x14ac:dyDescent="0.2">
      <c r="A109" s="213"/>
      <c r="B109" s="159"/>
      <c r="C109" s="13">
        <v>1</v>
      </c>
      <c r="D109" s="198" t="s">
        <v>161</v>
      </c>
      <c r="E109" s="336"/>
      <c r="F109" s="333"/>
      <c r="G109" s="337"/>
      <c r="H109" s="338"/>
      <c r="I109" s="183"/>
      <c r="J109" s="117"/>
      <c r="K109" s="43"/>
      <c r="L109" s="43"/>
    </row>
    <row r="110" spans="1:12" s="76" customFormat="1" x14ac:dyDescent="0.2">
      <c r="A110" s="213"/>
      <c r="B110" s="160"/>
      <c r="C110" s="53"/>
      <c r="D110" s="64" t="s">
        <v>84</v>
      </c>
      <c r="E110" s="339" t="s">
        <v>138</v>
      </c>
      <c r="F110" s="328">
        <v>43881.81</v>
      </c>
      <c r="G110" s="340">
        <v>1</v>
      </c>
      <c r="H110" s="188">
        <f>+G110*F110</f>
        <v>43881.81</v>
      </c>
      <c r="I110" s="185"/>
      <c r="J110" s="68"/>
      <c r="K110" s="43"/>
      <c r="L110" s="43"/>
    </row>
    <row r="111" spans="1:12" s="76" customFormat="1" x14ac:dyDescent="0.2">
      <c r="A111" s="213"/>
      <c r="B111" s="160"/>
      <c r="C111" s="53"/>
      <c r="D111" s="64" t="s">
        <v>78</v>
      </c>
      <c r="E111" s="339" t="s">
        <v>138</v>
      </c>
      <c r="F111" s="328">
        <v>43881.81</v>
      </c>
      <c r="G111" s="341">
        <v>2.5</v>
      </c>
      <c r="H111" s="188">
        <f>+G111*F111</f>
        <v>109704.52499999999</v>
      </c>
      <c r="I111" s="185"/>
      <c r="J111" s="68"/>
      <c r="K111" s="43"/>
      <c r="L111" s="43"/>
    </row>
    <row r="112" spans="1:12" s="76" customFormat="1" x14ac:dyDescent="0.2">
      <c r="A112" s="213"/>
      <c r="B112" s="160"/>
      <c r="C112" s="53"/>
      <c r="D112" s="64" t="s">
        <v>140</v>
      </c>
      <c r="E112" s="342">
        <f>22*3</f>
        <v>66</v>
      </c>
      <c r="F112" s="328">
        <v>398.92</v>
      </c>
      <c r="G112" s="340">
        <f>+F116</f>
        <v>4.5</v>
      </c>
      <c r="H112" s="188">
        <f>+G112*F112*E112</f>
        <v>118479.24</v>
      </c>
      <c r="I112" s="185"/>
      <c r="J112" s="68"/>
      <c r="K112" s="43"/>
      <c r="L112" s="43"/>
    </row>
    <row r="113" spans="1:12" s="76" customFormat="1" x14ac:dyDescent="0.2">
      <c r="A113" s="213"/>
      <c r="B113" s="160"/>
      <c r="C113" s="53"/>
      <c r="D113" s="64" t="s">
        <v>14</v>
      </c>
      <c r="E113" s="326" t="s">
        <v>113</v>
      </c>
      <c r="F113" s="328">
        <v>0</v>
      </c>
      <c r="G113" s="188">
        <f>$H$3</f>
        <v>50</v>
      </c>
      <c r="H113" s="188">
        <f>+G113*F113</f>
        <v>0</v>
      </c>
      <c r="I113" s="185"/>
      <c r="J113" s="68"/>
      <c r="K113" s="43"/>
      <c r="L113" s="43"/>
    </row>
    <row r="114" spans="1:12" s="76" customFormat="1" x14ac:dyDescent="0.2">
      <c r="A114" s="213"/>
      <c r="B114" s="160"/>
      <c r="C114" s="53"/>
      <c r="D114" s="64" t="s">
        <v>16</v>
      </c>
      <c r="E114" s="326" t="s">
        <v>113</v>
      </c>
      <c r="F114" s="328">
        <v>0</v>
      </c>
      <c r="G114" s="188">
        <f>$H$4</f>
        <v>40</v>
      </c>
      <c r="H114" s="188">
        <f>+G114*F114</f>
        <v>0</v>
      </c>
      <c r="I114" s="185"/>
      <c r="J114" s="68"/>
      <c r="K114" s="43"/>
      <c r="L114" s="43"/>
    </row>
    <row r="115" spans="1:12" s="76" customFormat="1" x14ac:dyDescent="0.2">
      <c r="A115" s="213"/>
      <c r="B115" s="160"/>
      <c r="C115" s="53"/>
      <c r="D115" s="64" t="s">
        <v>13</v>
      </c>
      <c r="E115" s="339" t="s">
        <v>59</v>
      </c>
      <c r="F115" s="328">
        <v>43881.81</v>
      </c>
      <c r="G115" s="188">
        <v>1</v>
      </c>
      <c r="H115" s="188">
        <f>+G115*F115</f>
        <v>43881.81</v>
      </c>
      <c r="I115" s="185"/>
      <c r="J115" s="68"/>
      <c r="K115" s="43"/>
      <c r="L115" s="43"/>
    </row>
    <row r="116" spans="1:12" s="76" customFormat="1" x14ac:dyDescent="0.2">
      <c r="A116" s="213"/>
      <c r="B116" s="180"/>
      <c r="C116" s="53"/>
      <c r="D116" s="64" t="s">
        <v>139</v>
      </c>
      <c r="E116" s="326" t="s">
        <v>111</v>
      </c>
      <c r="F116" s="333">
        <f>+G110+G111+G115</f>
        <v>4.5</v>
      </c>
      <c r="G116" s="187" t="s">
        <v>130</v>
      </c>
      <c r="H116" s="188">
        <f>SUM(H110:H115)</f>
        <v>315947.38500000001</v>
      </c>
      <c r="I116" s="185"/>
      <c r="J116" s="68"/>
      <c r="K116" s="43"/>
      <c r="L116" s="43"/>
    </row>
    <row r="117" spans="1:12" s="76" customFormat="1" x14ac:dyDescent="0.2">
      <c r="A117" s="213"/>
      <c r="B117" s="177"/>
      <c r="C117" s="53"/>
      <c r="D117" s="93" t="s">
        <v>129</v>
      </c>
      <c r="E117" s="326" t="s">
        <v>111</v>
      </c>
      <c r="F117" s="328"/>
      <c r="G117" s="343"/>
      <c r="H117" s="188">
        <f>H116*8.33%</f>
        <v>26318.417170500001</v>
      </c>
      <c r="I117" s="189"/>
      <c r="J117" s="179"/>
      <c r="K117" s="43"/>
      <c r="L117" s="43"/>
    </row>
    <row r="118" spans="1:12" s="76" customFormat="1" x14ac:dyDescent="0.2">
      <c r="A118" s="213"/>
      <c r="B118" s="177"/>
      <c r="C118" s="53"/>
      <c r="D118" s="361" t="s">
        <v>257</v>
      </c>
      <c r="E118" s="328"/>
      <c r="F118" s="328"/>
      <c r="G118" s="331"/>
      <c r="H118" s="188">
        <f>H116*7%</f>
        <v>22116.316950000004</v>
      </c>
      <c r="I118" s="190">
        <v>0</v>
      </c>
      <c r="J118" s="79">
        <f>+(H116+H117+H118)*C109</f>
        <v>364382.11912049999</v>
      </c>
      <c r="K118" s="43"/>
      <c r="L118" s="43"/>
    </row>
    <row r="119" spans="1:12" s="76" customFormat="1" x14ac:dyDescent="0.2">
      <c r="A119" s="213"/>
      <c r="B119" s="160"/>
      <c r="C119" s="53"/>
      <c r="D119" s="80"/>
      <c r="E119" s="344"/>
      <c r="F119" s="333"/>
      <c r="G119" s="334"/>
      <c r="H119" s="335"/>
      <c r="I119" s="192"/>
      <c r="J119" s="68"/>
      <c r="K119" s="43"/>
      <c r="L119" s="43"/>
    </row>
    <row r="120" spans="1:12" s="76" customFormat="1" ht="15" customHeight="1" x14ac:dyDescent="0.2">
      <c r="A120" s="213"/>
      <c r="B120" s="159"/>
      <c r="C120" s="13">
        <v>1</v>
      </c>
      <c r="D120" s="198" t="s">
        <v>144</v>
      </c>
      <c r="E120" s="17"/>
      <c r="F120" s="181"/>
      <c r="G120" s="29"/>
      <c r="H120" s="182"/>
      <c r="I120" s="193"/>
      <c r="J120" s="117"/>
      <c r="K120" s="43"/>
      <c r="L120" s="43"/>
    </row>
    <row r="121" spans="1:12" s="76" customFormat="1" x14ac:dyDescent="0.2">
      <c r="A121" s="213"/>
      <c r="B121" s="160"/>
      <c r="C121" s="53"/>
      <c r="D121" s="64" t="s">
        <v>84</v>
      </c>
      <c r="E121" s="66" t="s">
        <v>138</v>
      </c>
      <c r="F121" s="184">
        <v>34474.22</v>
      </c>
      <c r="G121" s="52">
        <v>1</v>
      </c>
      <c r="H121" s="24">
        <f t="shared" ref="H121:H125" si="2">+G121*F121</f>
        <v>34474.22</v>
      </c>
      <c r="I121" s="192"/>
      <c r="J121" s="68"/>
      <c r="K121" s="43"/>
      <c r="L121" s="43"/>
    </row>
    <row r="122" spans="1:12" s="76" customFormat="1" x14ac:dyDescent="0.2">
      <c r="A122" s="213"/>
      <c r="B122" s="160"/>
      <c r="C122" s="53"/>
      <c r="D122" s="64" t="s">
        <v>78</v>
      </c>
      <c r="E122" s="66" t="s">
        <v>138</v>
      </c>
      <c r="F122" s="184">
        <v>34474.22</v>
      </c>
      <c r="G122" s="186">
        <v>2.5</v>
      </c>
      <c r="H122" s="24">
        <f t="shared" si="2"/>
        <v>86185.55</v>
      </c>
      <c r="I122" s="192"/>
      <c r="J122" s="68"/>
      <c r="K122" s="43"/>
      <c r="L122" s="43"/>
    </row>
    <row r="123" spans="1:12" s="76" customFormat="1" x14ac:dyDescent="0.2">
      <c r="A123" s="213"/>
      <c r="B123" s="160"/>
      <c r="C123" s="53"/>
      <c r="D123" s="64" t="s">
        <v>140</v>
      </c>
      <c r="E123" s="342">
        <f>22*3</f>
        <v>66</v>
      </c>
      <c r="F123" s="184">
        <v>313.39999999999998</v>
      </c>
      <c r="G123" s="52">
        <f>+F127</f>
        <v>4</v>
      </c>
      <c r="H123" s="24">
        <f>+G123*F123*E123</f>
        <v>82737.599999999991</v>
      </c>
      <c r="I123" s="192"/>
      <c r="J123" s="68"/>
      <c r="K123" s="43"/>
      <c r="L123" s="43"/>
    </row>
    <row r="124" spans="1:12" s="76" customFormat="1" x14ac:dyDescent="0.2">
      <c r="A124" s="213"/>
      <c r="B124" s="160"/>
      <c r="C124" s="53"/>
      <c r="D124" s="64" t="s">
        <v>14</v>
      </c>
      <c r="E124" s="326" t="s">
        <v>113</v>
      </c>
      <c r="F124" s="328">
        <v>0</v>
      </c>
      <c r="G124" s="188">
        <f>$H$3</f>
        <v>50</v>
      </c>
      <c r="H124" s="188">
        <f t="shared" si="2"/>
        <v>0</v>
      </c>
      <c r="I124" s="345"/>
      <c r="J124" s="68"/>
      <c r="K124" s="43"/>
      <c r="L124" s="43"/>
    </row>
    <row r="125" spans="1:12" s="76" customFormat="1" x14ac:dyDescent="0.2">
      <c r="A125" s="213"/>
      <c r="B125" s="160"/>
      <c r="C125" s="53"/>
      <c r="D125" s="64" t="s">
        <v>16</v>
      </c>
      <c r="E125" s="326" t="s">
        <v>113</v>
      </c>
      <c r="F125" s="328">
        <v>0</v>
      </c>
      <c r="G125" s="188">
        <f>$H$4</f>
        <v>40</v>
      </c>
      <c r="H125" s="188">
        <f t="shared" si="2"/>
        <v>0</v>
      </c>
      <c r="I125" s="345"/>
      <c r="J125" s="68"/>
      <c r="K125" s="43"/>
      <c r="L125" s="43"/>
    </row>
    <row r="126" spans="1:12" s="76" customFormat="1" x14ac:dyDescent="0.2">
      <c r="A126" s="213"/>
      <c r="B126" s="160"/>
      <c r="C126" s="53"/>
      <c r="D126" s="64" t="s">
        <v>13</v>
      </c>
      <c r="E126" s="339" t="s">
        <v>59</v>
      </c>
      <c r="F126" s="328">
        <v>34474.22</v>
      </c>
      <c r="G126" s="340">
        <v>0.5</v>
      </c>
      <c r="H126" s="188">
        <f>+G126*F126</f>
        <v>17237.11</v>
      </c>
      <c r="I126" s="345"/>
      <c r="J126" s="68"/>
      <c r="K126" s="43"/>
      <c r="L126" s="43"/>
    </row>
    <row r="127" spans="1:12" s="76" customFormat="1" x14ac:dyDescent="0.2">
      <c r="A127" s="213"/>
      <c r="B127" s="180"/>
      <c r="C127" s="53"/>
      <c r="D127" s="64" t="s">
        <v>139</v>
      </c>
      <c r="E127" s="326" t="s">
        <v>111</v>
      </c>
      <c r="F127" s="333">
        <f>G121+G122+G126</f>
        <v>4</v>
      </c>
      <c r="G127" s="187" t="s">
        <v>130</v>
      </c>
      <c r="H127" s="188">
        <f>SUM(H121:H126)</f>
        <v>220634.47999999998</v>
      </c>
      <c r="I127" s="346"/>
      <c r="J127" s="68"/>
      <c r="K127" s="43"/>
      <c r="L127" s="43"/>
    </row>
    <row r="128" spans="1:12" s="76" customFormat="1" x14ac:dyDescent="0.2">
      <c r="A128" s="213"/>
      <c r="B128" s="177"/>
      <c r="C128" s="53"/>
      <c r="D128" s="93" t="s">
        <v>129</v>
      </c>
      <c r="E128" s="326" t="s">
        <v>111</v>
      </c>
      <c r="F128" s="328"/>
      <c r="G128" s="343"/>
      <c r="H128" s="188">
        <f>H127*8.33%</f>
        <v>18378.852183999999</v>
      </c>
      <c r="I128" s="347"/>
      <c r="J128" s="179"/>
      <c r="K128" s="43"/>
      <c r="L128" s="43"/>
    </row>
    <row r="129" spans="1:12" s="76" customFormat="1" x14ac:dyDescent="0.2">
      <c r="A129" s="213"/>
      <c r="B129" s="177"/>
      <c r="C129" s="53"/>
      <c r="D129" s="361" t="s">
        <v>257</v>
      </c>
      <c r="E129" s="328"/>
      <c r="F129" s="328"/>
      <c r="G129" s="331"/>
      <c r="H129" s="188">
        <f>H127*7%</f>
        <v>15444.4136</v>
      </c>
      <c r="I129" s="348">
        <v>0</v>
      </c>
      <c r="J129" s="79">
        <f>+(H127+H128+H129)*C120</f>
        <v>254457.74578399997</v>
      </c>
      <c r="K129" s="43"/>
      <c r="L129" s="43"/>
    </row>
    <row r="130" spans="1:12" s="76" customFormat="1" x14ac:dyDescent="0.2">
      <c r="A130" s="213"/>
      <c r="B130" s="160"/>
      <c r="C130" s="53"/>
      <c r="D130" s="80"/>
      <c r="E130" s="332"/>
      <c r="F130" s="333"/>
      <c r="G130" s="334"/>
      <c r="H130" s="335"/>
      <c r="I130" s="345"/>
      <c r="J130" s="68"/>
      <c r="K130" s="43"/>
      <c r="L130" s="43"/>
    </row>
    <row r="131" spans="1:12" s="76" customFormat="1" ht="15" customHeight="1" x14ac:dyDescent="0.2">
      <c r="A131" s="213"/>
      <c r="B131" s="159"/>
      <c r="C131" s="13">
        <v>1</v>
      </c>
      <c r="D131" s="198" t="s">
        <v>150</v>
      </c>
      <c r="E131" s="336"/>
      <c r="F131" s="333"/>
      <c r="G131" s="349"/>
      <c r="H131" s="338"/>
      <c r="I131" s="350"/>
      <c r="J131" s="117"/>
      <c r="K131" s="43"/>
      <c r="L131" s="43"/>
    </row>
    <row r="132" spans="1:12" s="76" customFormat="1" x14ac:dyDescent="0.2">
      <c r="A132" s="213"/>
      <c r="B132" s="160"/>
      <c r="C132" s="53"/>
      <c r="D132" s="64" t="s">
        <v>84</v>
      </c>
      <c r="E132" s="339" t="s">
        <v>138</v>
      </c>
      <c r="F132" s="328">
        <v>43881.81</v>
      </c>
      <c r="G132" s="340">
        <v>2</v>
      </c>
      <c r="H132" s="188">
        <f>+G132*F132</f>
        <v>87763.62</v>
      </c>
      <c r="I132" s="345"/>
      <c r="J132" s="68"/>
      <c r="K132" s="43"/>
      <c r="L132" s="43"/>
    </row>
    <row r="133" spans="1:12" s="76" customFormat="1" x14ac:dyDescent="0.2">
      <c r="A133" s="213"/>
      <c r="B133" s="160"/>
      <c r="C133" s="53"/>
      <c r="D133" s="64" t="s">
        <v>78</v>
      </c>
      <c r="E133" s="339" t="s">
        <v>138</v>
      </c>
      <c r="F133" s="328">
        <v>43881.81</v>
      </c>
      <c r="G133" s="340">
        <v>1.5</v>
      </c>
      <c r="H133" s="188">
        <f>+G133*F133</f>
        <v>65822.714999999997</v>
      </c>
      <c r="I133" s="345"/>
      <c r="J133" s="68"/>
      <c r="K133" s="43"/>
      <c r="L133" s="43"/>
    </row>
    <row r="134" spans="1:12" s="76" customFormat="1" x14ac:dyDescent="0.2">
      <c r="A134" s="213"/>
      <c r="B134" s="160"/>
      <c r="C134" s="53"/>
      <c r="D134" s="64" t="s">
        <v>140</v>
      </c>
      <c r="E134" s="342">
        <f>22*3</f>
        <v>66</v>
      </c>
      <c r="F134" s="328">
        <v>398.92</v>
      </c>
      <c r="G134" s="340">
        <f>+F138</f>
        <v>3.5</v>
      </c>
      <c r="H134" s="188">
        <f>+G134*F134*E134</f>
        <v>92150.52</v>
      </c>
      <c r="I134" s="345"/>
      <c r="J134" s="68"/>
      <c r="K134" s="43"/>
      <c r="L134" s="43"/>
    </row>
    <row r="135" spans="1:12" s="76" customFormat="1" x14ac:dyDescent="0.2">
      <c r="A135" s="213"/>
      <c r="B135" s="160"/>
      <c r="C135" s="53"/>
      <c r="D135" s="64" t="s">
        <v>14</v>
      </c>
      <c r="E135" s="326" t="s">
        <v>113</v>
      </c>
      <c r="F135" s="328">
        <f>E131/5*1.5</f>
        <v>0</v>
      </c>
      <c r="G135" s="188">
        <f>$H$3</f>
        <v>50</v>
      </c>
      <c r="H135" s="188">
        <f>+G135*F135</f>
        <v>0</v>
      </c>
      <c r="I135" s="345"/>
      <c r="J135" s="68"/>
      <c r="K135" s="43"/>
      <c r="L135" s="43"/>
    </row>
    <row r="136" spans="1:12" s="76" customFormat="1" x14ac:dyDescent="0.2">
      <c r="A136" s="213"/>
      <c r="B136" s="160"/>
      <c r="C136" s="53"/>
      <c r="D136" s="64" t="s">
        <v>16</v>
      </c>
      <c r="E136" s="326" t="s">
        <v>113</v>
      </c>
      <c r="F136" s="328">
        <f>E131/5*2</f>
        <v>0</v>
      </c>
      <c r="G136" s="188">
        <f>$H$4</f>
        <v>40</v>
      </c>
      <c r="H136" s="188">
        <f>+G136*F136</f>
        <v>0</v>
      </c>
      <c r="I136" s="345"/>
      <c r="J136" s="68"/>
      <c r="K136" s="43"/>
      <c r="L136" s="43"/>
    </row>
    <row r="137" spans="1:12" s="76" customFormat="1" x14ac:dyDescent="0.2">
      <c r="A137" s="213"/>
      <c r="B137" s="160"/>
      <c r="C137" s="53"/>
      <c r="D137" s="64" t="s">
        <v>13</v>
      </c>
      <c r="E137" s="339" t="s">
        <v>59</v>
      </c>
      <c r="F137" s="328">
        <f>E131</f>
        <v>0</v>
      </c>
      <c r="G137" s="188">
        <v>0</v>
      </c>
      <c r="H137" s="188">
        <f>+G137*F137</f>
        <v>0</v>
      </c>
      <c r="I137" s="345"/>
      <c r="J137" s="68"/>
      <c r="K137" s="43"/>
      <c r="L137" s="43"/>
    </row>
    <row r="138" spans="1:12" s="76" customFormat="1" x14ac:dyDescent="0.2">
      <c r="A138" s="213"/>
      <c r="B138" s="180"/>
      <c r="C138" s="53"/>
      <c r="D138" s="64" t="s">
        <v>139</v>
      </c>
      <c r="E138" s="326" t="s">
        <v>111</v>
      </c>
      <c r="F138" s="333">
        <f>+G132+G133+G137</f>
        <v>3.5</v>
      </c>
      <c r="G138" s="187" t="s">
        <v>130</v>
      </c>
      <c r="H138" s="188">
        <f>SUM(H132:H137)</f>
        <v>245736.85499999998</v>
      </c>
      <c r="I138" s="346"/>
      <c r="J138" s="68"/>
      <c r="K138" s="43"/>
      <c r="L138" s="43"/>
    </row>
    <row r="139" spans="1:12" s="76" customFormat="1" x14ac:dyDescent="0.2">
      <c r="A139" s="213"/>
      <c r="B139" s="177"/>
      <c r="C139" s="53"/>
      <c r="D139" s="93" t="s">
        <v>129</v>
      </c>
      <c r="E139" s="326" t="s">
        <v>111</v>
      </c>
      <c r="F139" s="328"/>
      <c r="G139" s="343"/>
      <c r="H139" s="188">
        <f>H138*8.33%</f>
        <v>20469.880021499997</v>
      </c>
      <c r="I139" s="347"/>
      <c r="J139" s="179"/>
      <c r="K139" s="43"/>
      <c r="L139" s="43"/>
    </row>
    <row r="140" spans="1:12" s="76" customFormat="1" x14ac:dyDescent="0.2">
      <c r="A140" s="213"/>
      <c r="B140" s="177"/>
      <c r="C140" s="53"/>
      <c r="D140" s="361" t="s">
        <v>257</v>
      </c>
      <c r="E140" s="328"/>
      <c r="F140" s="328"/>
      <c r="G140" s="331"/>
      <c r="H140" s="188">
        <f>H138*7%</f>
        <v>17201.579850000002</v>
      </c>
      <c r="I140" s="348">
        <v>0</v>
      </c>
      <c r="J140" s="79">
        <f>+(H138+H139+H140)*C131</f>
        <v>283408.31487149996</v>
      </c>
      <c r="K140" s="43"/>
      <c r="L140" s="43"/>
    </row>
    <row r="141" spans="1:12" s="76" customFormat="1" x14ac:dyDescent="0.2">
      <c r="A141" s="213"/>
      <c r="B141" s="160"/>
      <c r="C141" s="53"/>
      <c r="D141" s="80"/>
      <c r="E141" s="194"/>
      <c r="F141" s="181"/>
      <c r="G141" s="191"/>
      <c r="H141" s="27"/>
      <c r="I141" s="192"/>
      <c r="J141" s="68"/>
      <c r="K141" s="43"/>
      <c r="L141" s="43"/>
    </row>
    <row r="142" spans="1:12" s="76" customFormat="1" ht="21" customHeight="1" x14ac:dyDescent="0.2">
      <c r="A142" s="213"/>
      <c r="B142" s="293"/>
      <c r="C142" s="145">
        <f>SUM(C96:C139)</f>
        <v>4</v>
      </c>
      <c r="D142" s="80"/>
      <c r="E142" s="194"/>
      <c r="F142" s="181"/>
      <c r="G142" s="191"/>
      <c r="H142" s="27"/>
      <c r="I142" s="192"/>
      <c r="J142" s="68"/>
      <c r="K142" s="43"/>
      <c r="L142" s="43"/>
    </row>
    <row r="143" spans="1:12" s="76" customFormat="1" ht="18" customHeight="1" x14ac:dyDescent="0.2">
      <c r="A143" s="213"/>
      <c r="B143" s="293"/>
      <c r="C143" s="53"/>
      <c r="D143" s="80"/>
      <c r="E143" s="194"/>
      <c r="F143" s="181"/>
      <c r="G143" s="191"/>
      <c r="H143" s="27"/>
      <c r="I143" s="192"/>
      <c r="J143" s="68"/>
      <c r="K143" s="43"/>
      <c r="L143" s="43"/>
    </row>
    <row r="144" spans="1:12" s="76" customFormat="1" ht="15" customHeight="1" x14ac:dyDescent="0.2">
      <c r="A144" s="302"/>
      <c r="B144" s="265"/>
      <c r="C144" s="13"/>
      <c r="D144" s="303" t="s">
        <v>215</v>
      </c>
      <c r="E144" s="81"/>
      <c r="F144" s="72"/>
      <c r="G144" s="73"/>
      <c r="H144" s="304"/>
      <c r="I144" s="46"/>
      <c r="J144" s="46"/>
      <c r="K144" s="43"/>
      <c r="L144" s="43"/>
    </row>
    <row r="145" spans="1:12" s="76" customFormat="1" ht="15" customHeight="1" x14ac:dyDescent="0.2">
      <c r="A145" s="213"/>
      <c r="B145" s="159"/>
      <c r="C145" s="13">
        <v>1</v>
      </c>
      <c r="D145" s="198" t="s">
        <v>143</v>
      </c>
      <c r="E145" s="17"/>
      <c r="F145" s="181"/>
      <c r="G145" s="45"/>
      <c r="H145" s="182"/>
      <c r="I145" s="183"/>
      <c r="J145" s="117"/>
      <c r="K145" s="43"/>
      <c r="L145" s="43"/>
    </row>
    <row r="146" spans="1:12" s="76" customFormat="1" x14ac:dyDescent="0.2">
      <c r="A146" s="213"/>
      <c r="B146" s="160"/>
      <c r="C146" s="53"/>
      <c r="D146" s="64" t="s">
        <v>84</v>
      </c>
      <c r="E146" s="66" t="s">
        <v>138</v>
      </c>
      <c r="F146" s="184">
        <v>58032.75</v>
      </c>
      <c r="G146" s="52">
        <v>1</v>
      </c>
      <c r="H146" s="24">
        <f>+G146*F146</f>
        <v>58032.75</v>
      </c>
      <c r="I146" s="185"/>
      <c r="J146" s="68"/>
      <c r="K146" s="43"/>
      <c r="L146" s="43"/>
    </row>
    <row r="147" spans="1:12" s="76" customFormat="1" x14ac:dyDescent="0.2">
      <c r="A147" s="213"/>
      <c r="B147" s="160"/>
      <c r="C147" s="53"/>
      <c r="D147" s="64" t="s">
        <v>78</v>
      </c>
      <c r="E147" s="66" t="s">
        <v>138</v>
      </c>
      <c r="F147" s="184">
        <v>58032.75</v>
      </c>
      <c r="G147" s="186">
        <v>2.5</v>
      </c>
      <c r="H147" s="24">
        <f>+G147*F147</f>
        <v>145081.875</v>
      </c>
      <c r="I147" s="185"/>
      <c r="J147" s="68"/>
      <c r="K147" s="43"/>
      <c r="L147" s="43"/>
    </row>
    <row r="148" spans="1:12" s="76" customFormat="1" x14ac:dyDescent="0.2">
      <c r="A148" s="213"/>
      <c r="B148" s="160"/>
      <c r="C148" s="53"/>
      <c r="D148" s="64" t="s">
        <v>140</v>
      </c>
      <c r="E148" s="342">
        <f>22*3</f>
        <v>66</v>
      </c>
      <c r="F148" s="184">
        <v>527.57000000000005</v>
      </c>
      <c r="G148" s="52">
        <f>+F152</f>
        <v>3.5</v>
      </c>
      <c r="H148" s="24">
        <f>+G148*F148*E148</f>
        <v>121868.67000000001</v>
      </c>
      <c r="I148" s="185"/>
      <c r="J148" s="68"/>
      <c r="K148" s="43"/>
      <c r="L148" s="43"/>
    </row>
    <row r="149" spans="1:12" s="76" customFormat="1" x14ac:dyDescent="0.2">
      <c r="A149" s="213"/>
      <c r="B149" s="160"/>
      <c r="C149" s="53"/>
      <c r="D149" s="64" t="s">
        <v>14</v>
      </c>
      <c r="E149" s="326" t="s">
        <v>113</v>
      </c>
      <c r="F149" s="328">
        <v>0</v>
      </c>
      <c r="G149" s="188">
        <f>$H$3</f>
        <v>50</v>
      </c>
      <c r="H149" s="188">
        <f>+G149*F149</f>
        <v>0</v>
      </c>
      <c r="I149" s="185"/>
      <c r="J149" s="68"/>
      <c r="K149" s="43"/>
      <c r="L149" s="43"/>
    </row>
    <row r="150" spans="1:12" s="76" customFormat="1" x14ac:dyDescent="0.2">
      <c r="A150" s="213"/>
      <c r="B150" s="160"/>
      <c r="C150" s="53"/>
      <c r="D150" s="64" t="s">
        <v>16</v>
      </c>
      <c r="E150" s="326" t="s">
        <v>113</v>
      </c>
      <c r="F150" s="328">
        <v>0</v>
      </c>
      <c r="G150" s="188">
        <f>$H$4</f>
        <v>40</v>
      </c>
      <c r="H150" s="188">
        <f>+G150*F150</f>
        <v>0</v>
      </c>
      <c r="I150" s="185"/>
      <c r="J150" s="68"/>
      <c r="K150" s="43"/>
      <c r="L150" s="43"/>
    </row>
    <row r="151" spans="1:12" s="76" customFormat="1" x14ac:dyDescent="0.2">
      <c r="A151" s="213"/>
      <c r="B151" s="160"/>
      <c r="C151" s="53"/>
      <c r="D151" s="64" t="s">
        <v>13</v>
      </c>
      <c r="E151" s="339" t="s">
        <v>59</v>
      </c>
      <c r="F151" s="328">
        <f>E145</f>
        <v>0</v>
      </c>
      <c r="G151" s="188">
        <v>0</v>
      </c>
      <c r="H151" s="188">
        <f>+G151*F151</f>
        <v>0</v>
      </c>
      <c r="I151" s="185"/>
      <c r="J151" s="68"/>
      <c r="K151" s="43"/>
      <c r="L151" s="43"/>
    </row>
    <row r="152" spans="1:12" s="76" customFormat="1" x14ac:dyDescent="0.2">
      <c r="A152" s="213"/>
      <c r="B152" s="180"/>
      <c r="C152" s="53"/>
      <c r="D152" s="64" t="s">
        <v>139</v>
      </c>
      <c r="E152" s="326" t="s">
        <v>111</v>
      </c>
      <c r="F152" s="333">
        <f>+G146+G147+G151</f>
        <v>3.5</v>
      </c>
      <c r="G152" s="187" t="s">
        <v>130</v>
      </c>
      <c r="H152" s="188">
        <f>SUM(H146:H151)</f>
        <v>324983.29500000004</v>
      </c>
      <c r="I152" s="185"/>
      <c r="J152" s="68"/>
      <c r="K152" s="43"/>
      <c r="L152" s="43"/>
    </row>
    <row r="153" spans="1:12" s="76" customFormat="1" x14ac:dyDescent="0.2">
      <c r="A153" s="213"/>
      <c r="B153" s="177"/>
      <c r="C153" s="53"/>
      <c r="D153" s="93" t="s">
        <v>129</v>
      </c>
      <c r="E153" s="326" t="s">
        <v>111</v>
      </c>
      <c r="F153" s="328"/>
      <c r="G153" s="343"/>
      <c r="H153" s="188">
        <f>H152*8.33%</f>
        <v>27071.108473500004</v>
      </c>
      <c r="I153" s="189"/>
      <c r="J153" s="179"/>
      <c r="K153" s="43"/>
      <c r="L153" s="43"/>
    </row>
    <row r="154" spans="1:12" s="76" customFormat="1" x14ac:dyDescent="0.2">
      <c r="A154" s="213"/>
      <c r="B154" s="160"/>
      <c r="C154" s="53"/>
      <c r="D154" s="361" t="s">
        <v>257</v>
      </c>
      <c r="E154" s="328"/>
      <c r="F154" s="328"/>
      <c r="G154" s="331"/>
      <c r="H154" s="188">
        <f>H152*7%</f>
        <v>22748.830650000004</v>
      </c>
      <c r="I154" s="190">
        <v>0</v>
      </c>
      <c r="J154" s="79">
        <f>+(H152+H153+H154)*C145</f>
        <v>374803.23412350006</v>
      </c>
      <c r="K154" s="43"/>
      <c r="L154" s="43"/>
    </row>
    <row r="155" spans="1:12" s="76" customFormat="1" x14ac:dyDescent="0.2">
      <c r="A155" s="213"/>
      <c r="B155" s="160"/>
      <c r="C155" s="53"/>
      <c r="D155" s="80"/>
      <c r="E155" s="332"/>
      <c r="F155" s="333"/>
      <c r="G155" s="334"/>
      <c r="H155" s="335"/>
      <c r="I155" s="192"/>
      <c r="J155" s="68"/>
      <c r="K155" s="43"/>
      <c r="L155" s="43"/>
    </row>
    <row r="156" spans="1:12" s="76" customFormat="1" ht="15" customHeight="1" x14ac:dyDescent="0.2">
      <c r="A156" s="213"/>
      <c r="B156" s="159"/>
      <c r="C156" s="13">
        <v>2</v>
      </c>
      <c r="D156" s="198" t="s">
        <v>162</v>
      </c>
      <c r="E156" s="336"/>
      <c r="F156" s="333"/>
      <c r="G156" s="349"/>
      <c r="H156" s="338"/>
      <c r="I156" s="193"/>
      <c r="J156" s="117"/>
      <c r="K156" s="43"/>
      <c r="L156" s="43"/>
    </row>
    <row r="157" spans="1:12" s="76" customFormat="1" x14ac:dyDescent="0.2">
      <c r="A157" s="213"/>
      <c r="B157" s="180"/>
      <c r="C157" s="53"/>
      <c r="D157" s="64" t="s">
        <v>84</v>
      </c>
      <c r="E157" s="339" t="s">
        <v>138</v>
      </c>
      <c r="F157" s="328">
        <v>34474.22</v>
      </c>
      <c r="G157" s="340">
        <v>0.5</v>
      </c>
      <c r="H157" s="188">
        <f>+G157*F157</f>
        <v>17237.11</v>
      </c>
      <c r="I157" s="192"/>
      <c r="J157" s="68"/>
      <c r="K157" s="43"/>
      <c r="L157" s="43"/>
    </row>
    <row r="158" spans="1:12" s="76" customFormat="1" x14ac:dyDescent="0.2">
      <c r="A158" s="213"/>
      <c r="B158" s="180"/>
      <c r="C158" s="53"/>
      <c r="D158" s="64" t="s">
        <v>78</v>
      </c>
      <c r="E158" s="339" t="s">
        <v>138</v>
      </c>
      <c r="F158" s="328">
        <v>34474.22</v>
      </c>
      <c r="G158" s="341">
        <v>2.5</v>
      </c>
      <c r="H158" s="188">
        <f>+G158*F158</f>
        <v>86185.55</v>
      </c>
      <c r="I158" s="192"/>
      <c r="J158" s="68"/>
      <c r="K158" s="43"/>
      <c r="L158" s="43"/>
    </row>
    <row r="159" spans="1:12" s="76" customFormat="1" x14ac:dyDescent="0.2">
      <c r="A159" s="213"/>
      <c r="B159" s="180"/>
      <c r="C159" s="53"/>
      <c r="D159" s="64" t="s">
        <v>140</v>
      </c>
      <c r="E159" s="342">
        <f>22*3</f>
        <v>66</v>
      </c>
      <c r="F159" s="328">
        <v>313.39999999999998</v>
      </c>
      <c r="G159" s="340">
        <f>+F163</f>
        <v>3</v>
      </c>
      <c r="H159" s="188">
        <f>+G159*F159*E159</f>
        <v>62053.2</v>
      </c>
      <c r="I159" s="192"/>
      <c r="J159" s="68"/>
      <c r="K159" s="43"/>
      <c r="L159" s="43"/>
    </row>
    <row r="160" spans="1:12" s="76" customFormat="1" x14ac:dyDescent="0.2">
      <c r="A160" s="213"/>
      <c r="B160" s="180"/>
      <c r="C160" s="53"/>
      <c r="D160" s="64" t="s">
        <v>14</v>
      </c>
      <c r="E160" s="326" t="s">
        <v>113</v>
      </c>
      <c r="F160" s="328">
        <v>0</v>
      </c>
      <c r="G160" s="188">
        <f>$H$3</f>
        <v>50</v>
      </c>
      <c r="H160" s="188">
        <f>+G160*F160</f>
        <v>0</v>
      </c>
      <c r="I160" s="192"/>
      <c r="J160" s="68"/>
      <c r="K160" s="43"/>
      <c r="L160" s="43"/>
    </row>
    <row r="161" spans="1:12" s="76" customFormat="1" x14ac:dyDescent="0.2">
      <c r="A161" s="213"/>
      <c r="B161" s="180"/>
      <c r="C161" s="53"/>
      <c r="D161" s="64" t="s">
        <v>16</v>
      </c>
      <c r="E161" s="326" t="s">
        <v>113</v>
      </c>
      <c r="F161" s="328">
        <v>0</v>
      </c>
      <c r="G161" s="188">
        <f>$H$4</f>
        <v>40</v>
      </c>
      <c r="H161" s="188">
        <f>+G161*F161</f>
        <v>0</v>
      </c>
      <c r="I161" s="192"/>
      <c r="J161" s="68"/>
      <c r="K161" s="43"/>
      <c r="L161" s="43"/>
    </row>
    <row r="162" spans="1:12" s="76" customFormat="1" x14ac:dyDescent="0.2">
      <c r="A162" s="213"/>
      <c r="B162" s="180"/>
      <c r="C162" s="53"/>
      <c r="D162" s="64" t="s">
        <v>13</v>
      </c>
      <c r="E162" s="339" t="s">
        <v>59</v>
      </c>
      <c r="F162" s="328">
        <f>E156</f>
        <v>0</v>
      </c>
      <c r="G162" s="188">
        <v>0</v>
      </c>
      <c r="H162" s="188">
        <f>+G162*F162</f>
        <v>0</v>
      </c>
      <c r="I162" s="192"/>
      <c r="J162" s="68"/>
      <c r="K162" s="43"/>
      <c r="L162" s="43"/>
    </row>
    <row r="163" spans="1:12" s="76" customFormat="1" x14ac:dyDescent="0.2">
      <c r="A163" s="213"/>
      <c r="B163" s="180"/>
      <c r="C163" s="53"/>
      <c r="D163" s="64" t="s">
        <v>139</v>
      </c>
      <c r="E163" s="326" t="s">
        <v>111</v>
      </c>
      <c r="F163" s="333">
        <f>+G157+G158+G162</f>
        <v>3</v>
      </c>
      <c r="G163" s="187" t="s">
        <v>130</v>
      </c>
      <c r="H163" s="188">
        <f>SUM(H157:H162)</f>
        <v>165475.85999999999</v>
      </c>
      <c r="I163" s="185"/>
      <c r="J163" s="68"/>
      <c r="K163" s="43"/>
      <c r="L163" s="43"/>
    </row>
    <row r="164" spans="1:12" s="76" customFormat="1" x14ac:dyDescent="0.2">
      <c r="A164" s="213"/>
      <c r="B164" s="180"/>
      <c r="C164" s="53"/>
      <c r="D164" s="93" t="s">
        <v>129</v>
      </c>
      <c r="E164" s="326" t="s">
        <v>111</v>
      </c>
      <c r="F164" s="328"/>
      <c r="G164" s="343"/>
      <c r="H164" s="188">
        <f>H163*8.33%</f>
        <v>13784.139137999999</v>
      </c>
      <c r="I164" s="189"/>
      <c r="J164" s="179"/>
      <c r="K164" s="43"/>
      <c r="L164" s="43"/>
    </row>
    <row r="165" spans="1:12" s="76" customFormat="1" x14ac:dyDescent="0.2">
      <c r="A165" s="213"/>
      <c r="B165" s="180"/>
      <c r="C165" s="53"/>
      <c r="D165" s="361" t="s">
        <v>257</v>
      </c>
      <c r="E165" s="328"/>
      <c r="F165" s="328"/>
      <c r="G165" s="331"/>
      <c r="H165" s="188">
        <f>H163*7%</f>
        <v>11583.3102</v>
      </c>
      <c r="I165" s="190">
        <v>0</v>
      </c>
      <c r="J165" s="79">
        <f>+(H163+H164+H165)*C156</f>
        <v>381686.61867599998</v>
      </c>
      <c r="K165" s="43"/>
      <c r="L165" s="43"/>
    </row>
    <row r="166" spans="1:12" s="76" customFormat="1" x14ac:dyDescent="0.2">
      <c r="A166" s="213"/>
      <c r="B166" s="180"/>
      <c r="C166" s="53"/>
      <c r="D166" s="80"/>
      <c r="E166" s="332"/>
      <c r="F166" s="333"/>
      <c r="G166" s="334"/>
      <c r="H166" s="335"/>
      <c r="I166" s="192"/>
      <c r="J166" s="68"/>
      <c r="K166" s="43"/>
      <c r="L166" s="43"/>
    </row>
    <row r="167" spans="1:12" s="76" customFormat="1" ht="15" customHeight="1" x14ac:dyDescent="0.2">
      <c r="A167" s="213"/>
      <c r="B167" s="159"/>
      <c r="C167" s="13">
        <v>1</v>
      </c>
      <c r="D167" s="198" t="s">
        <v>345</v>
      </c>
      <c r="E167" s="336"/>
      <c r="F167" s="333"/>
      <c r="G167" s="337"/>
      <c r="H167" s="338"/>
      <c r="I167" s="183"/>
      <c r="J167" s="117"/>
      <c r="K167" s="43"/>
      <c r="L167" s="43"/>
    </row>
    <row r="168" spans="1:12" s="76" customFormat="1" x14ac:dyDescent="0.2">
      <c r="A168" s="213"/>
      <c r="B168" s="160"/>
      <c r="C168" s="53"/>
      <c r="D168" s="64" t="s">
        <v>84</v>
      </c>
      <c r="E168" s="339" t="s">
        <v>138</v>
      </c>
      <c r="F168" s="328">
        <v>58032.75</v>
      </c>
      <c r="G168" s="340">
        <v>2</v>
      </c>
      <c r="H168" s="188">
        <f>+G168*F168</f>
        <v>116065.5</v>
      </c>
      <c r="I168" s="185"/>
      <c r="J168" s="68"/>
      <c r="K168" s="43"/>
      <c r="L168" s="43"/>
    </row>
    <row r="169" spans="1:12" s="76" customFormat="1" x14ac:dyDescent="0.2">
      <c r="A169" s="213"/>
      <c r="B169" s="160"/>
      <c r="C169" s="53"/>
      <c r="D169" s="64" t="s">
        <v>78</v>
      </c>
      <c r="E169" s="339" t="s">
        <v>138</v>
      </c>
      <c r="F169" s="328">
        <v>58032.75</v>
      </c>
      <c r="G169" s="341">
        <v>2.5</v>
      </c>
      <c r="H169" s="188">
        <f>+G169*F169</f>
        <v>145081.875</v>
      </c>
      <c r="I169" s="185"/>
      <c r="J169" s="68"/>
      <c r="K169" s="43"/>
      <c r="L169" s="43"/>
    </row>
    <row r="170" spans="1:12" s="76" customFormat="1" x14ac:dyDescent="0.2">
      <c r="A170" s="213"/>
      <c r="B170" s="160"/>
      <c r="C170" s="53"/>
      <c r="D170" s="64" t="s">
        <v>140</v>
      </c>
      <c r="E170" s="342">
        <f>22*3</f>
        <v>66</v>
      </c>
      <c r="F170" s="184">
        <v>527.57000000000005</v>
      </c>
      <c r="G170" s="52">
        <f>+F174</f>
        <v>4.5</v>
      </c>
      <c r="H170" s="24">
        <f>+G170*F170*E170</f>
        <v>156688.29</v>
      </c>
      <c r="I170" s="185"/>
      <c r="J170" s="68"/>
      <c r="K170" s="43"/>
      <c r="L170" s="43"/>
    </row>
    <row r="171" spans="1:12" s="76" customFormat="1" x14ac:dyDescent="0.2">
      <c r="A171" s="213"/>
      <c r="B171" s="160"/>
      <c r="C171" s="53"/>
      <c r="D171" s="64" t="s">
        <v>14</v>
      </c>
      <c r="E171" s="326" t="s">
        <v>113</v>
      </c>
      <c r="F171" s="328">
        <v>0</v>
      </c>
      <c r="G171" s="188">
        <f>$H$3</f>
        <v>50</v>
      </c>
      <c r="H171" s="188">
        <f>+G171*F171</f>
        <v>0</v>
      </c>
      <c r="I171" s="185"/>
      <c r="J171" s="68"/>
      <c r="K171" s="43"/>
      <c r="L171" s="43"/>
    </row>
    <row r="172" spans="1:12" s="76" customFormat="1" x14ac:dyDescent="0.2">
      <c r="A172" s="213"/>
      <c r="B172" s="160"/>
      <c r="C172" s="53"/>
      <c r="D172" s="64" t="s">
        <v>16</v>
      </c>
      <c r="E172" s="326" t="s">
        <v>113</v>
      </c>
      <c r="F172" s="328">
        <v>0</v>
      </c>
      <c r="G172" s="188">
        <f>$H$4</f>
        <v>40</v>
      </c>
      <c r="H172" s="188">
        <f>+G172*F172</f>
        <v>0</v>
      </c>
      <c r="I172" s="185"/>
      <c r="J172" s="68"/>
      <c r="K172" s="43"/>
      <c r="L172" s="43"/>
    </row>
    <row r="173" spans="1:12" s="76" customFormat="1" x14ac:dyDescent="0.2">
      <c r="A173" s="213"/>
      <c r="B173" s="160"/>
      <c r="C173" s="53"/>
      <c r="D173" s="64" t="s">
        <v>13</v>
      </c>
      <c r="E173" s="339" t="s">
        <v>59</v>
      </c>
      <c r="F173" s="328">
        <f>E167</f>
        <v>0</v>
      </c>
      <c r="G173" s="188">
        <v>0</v>
      </c>
      <c r="H173" s="188">
        <f>+G173*F173</f>
        <v>0</v>
      </c>
      <c r="I173" s="185"/>
      <c r="J173" s="68"/>
      <c r="K173" s="43"/>
      <c r="L173" s="43"/>
    </row>
    <row r="174" spans="1:12" s="76" customFormat="1" x14ac:dyDescent="0.2">
      <c r="A174" s="213"/>
      <c r="B174" s="180"/>
      <c r="C174" s="53"/>
      <c r="D174" s="64" t="s">
        <v>139</v>
      </c>
      <c r="E174" s="326" t="s">
        <v>111</v>
      </c>
      <c r="F174" s="333">
        <f>+G168+G169+G173</f>
        <v>4.5</v>
      </c>
      <c r="G174" s="187" t="s">
        <v>130</v>
      </c>
      <c r="H174" s="188">
        <f>SUM(H168:H173)</f>
        <v>417835.66500000004</v>
      </c>
      <c r="I174" s="185"/>
      <c r="J174" s="68"/>
      <c r="K174" s="43"/>
      <c r="L174" s="43"/>
    </row>
    <row r="175" spans="1:12" s="76" customFormat="1" x14ac:dyDescent="0.2">
      <c r="A175" s="213"/>
      <c r="B175" s="177"/>
      <c r="C175" s="53"/>
      <c r="D175" s="93" t="s">
        <v>129</v>
      </c>
      <c r="E175" s="326" t="s">
        <v>111</v>
      </c>
      <c r="F175" s="328"/>
      <c r="G175" s="343"/>
      <c r="H175" s="188">
        <f>H174*8.33%</f>
        <v>34805.7108945</v>
      </c>
      <c r="I175" s="189"/>
      <c r="J175" s="179"/>
      <c r="K175" s="43"/>
      <c r="L175" s="43"/>
    </row>
    <row r="176" spans="1:12" s="76" customFormat="1" x14ac:dyDescent="0.2">
      <c r="A176" s="213"/>
      <c r="B176" s="177"/>
      <c r="C176" s="53"/>
      <c r="D176" s="361" t="s">
        <v>257</v>
      </c>
      <c r="E176" s="326" t="s">
        <v>111</v>
      </c>
      <c r="F176" s="328"/>
      <c r="G176" s="331"/>
      <c r="H176" s="188">
        <f>H174*7%</f>
        <v>29248.496550000007</v>
      </c>
      <c r="I176" s="190">
        <v>0</v>
      </c>
      <c r="J176" s="79">
        <f>+(H174+H175+H176)*C167</f>
        <v>481889.87244450004</v>
      </c>
      <c r="K176" s="43"/>
      <c r="L176" s="43"/>
    </row>
    <row r="177" spans="1:12" s="76" customFormat="1" x14ac:dyDescent="0.2">
      <c r="A177" s="213"/>
      <c r="B177" s="160"/>
      <c r="C177" s="53"/>
      <c r="D177" s="80"/>
      <c r="E177" s="332"/>
      <c r="F177" s="333"/>
      <c r="G177" s="334"/>
      <c r="H177" s="335"/>
      <c r="I177" s="192"/>
      <c r="J177" s="68"/>
      <c r="K177" s="43"/>
      <c r="L177" s="43"/>
    </row>
    <row r="178" spans="1:12" s="76" customFormat="1" ht="15" customHeight="1" x14ac:dyDescent="0.2">
      <c r="A178" s="213"/>
      <c r="B178" s="159"/>
      <c r="C178" s="13">
        <v>1</v>
      </c>
      <c r="D178" s="198" t="s">
        <v>147</v>
      </c>
      <c r="E178" s="336"/>
      <c r="F178" s="333"/>
      <c r="G178" s="349"/>
      <c r="H178" s="338"/>
      <c r="I178" s="193"/>
      <c r="J178" s="117"/>
      <c r="K178" s="43"/>
      <c r="L178" s="43"/>
    </row>
    <row r="179" spans="1:12" s="76" customFormat="1" x14ac:dyDescent="0.2">
      <c r="A179" s="213"/>
      <c r="B179" s="160"/>
      <c r="C179" s="53"/>
      <c r="D179" s="64" t="s">
        <v>84</v>
      </c>
      <c r="E179" s="339" t="s">
        <v>138</v>
      </c>
      <c r="F179" s="328">
        <v>34474.22</v>
      </c>
      <c r="G179" s="340">
        <v>1</v>
      </c>
      <c r="H179" s="188">
        <f>+G179*F179</f>
        <v>34474.22</v>
      </c>
      <c r="I179" s="192"/>
      <c r="J179" s="68"/>
      <c r="K179" s="43"/>
      <c r="L179" s="43"/>
    </row>
    <row r="180" spans="1:12" s="76" customFormat="1" x14ac:dyDescent="0.2">
      <c r="A180" s="213"/>
      <c r="B180" s="160"/>
      <c r="C180" s="53"/>
      <c r="D180" s="64" t="s">
        <v>78</v>
      </c>
      <c r="E180" s="339" t="s">
        <v>138</v>
      </c>
      <c r="F180" s="328">
        <v>34474.22</v>
      </c>
      <c r="G180" s="341">
        <v>2.5</v>
      </c>
      <c r="H180" s="188">
        <f>+G180*F180</f>
        <v>86185.55</v>
      </c>
      <c r="I180" s="192"/>
      <c r="J180" s="68"/>
      <c r="K180" s="43"/>
      <c r="L180" s="43"/>
    </row>
    <row r="181" spans="1:12" s="76" customFormat="1" x14ac:dyDescent="0.2">
      <c r="A181" s="213"/>
      <c r="B181" s="160"/>
      <c r="C181" s="53"/>
      <c r="D181" s="64" t="s">
        <v>140</v>
      </c>
      <c r="E181" s="342">
        <f>22*3</f>
        <v>66</v>
      </c>
      <c r="F181" s="328">
        <v>313.39999999999998</v>
      </c>
      <c r="G181" s="340">
        <f>+F185</f>
        <v>3.5</v>
      </c>
      <c r="H181" s="188">
        <f>+G181*F181*E181</f>
        <v>72395.399999999994</v>
      </c>
      <c r="I181" s="192"/>
      <c r="J181" s="68"/>
      <c r="K181" s="43"/>
      <c r="L181" s="43"/>
    </row>
    <row r="182" spans="1:12" s="76" customFormat="1" x14ac:dyDescent="0.2">
      <c r="A182" s="213"/>
      <c r="B182" s="160"/>
      <c r="C182" s="53"/>
      <c r="D182" s="64" t="s">
        <v>14</v>
      </c>
      <c r="E182" s="326" t="s">
        <v>113</v>
      </c>
      <c r="F182" s="328">
        <v>0</v>
      </c>
      <c r="G182" s="188">
        <f>$H$3</f>
        <v>50</v>
      </c>
      <c r="H182" s="188">
        <f>+G182*F182</f>
        <v>0</v>
      </c>
      <c r="I182" s="192"/>
      <c r="J182" s="68"/>
      <c r="K182" s="43"/>
      <c r="L182" s="43"/>
    </row>
    <row r="183" spans="1:12" s="76" customFormat="1" x14ac:dyDescent="0.2">
      <c r="A183" s="213"/>
      <c r="B183" s="160"/>
      <c r="C183" s="53"/>
      <c r="D183" s="64" t="s">
        <v>16</v>
      </c>
      <c r="E183" s="326" t="s">
        <v>113</v>
      </c>
      <c r="F183" s="328">
        <v>0</v>
      </c>
      <c r="G183" s="188">
        <f>$H$4</f>
        <v>40</v>
      </c>
      <c r="H183" s="188">
        <f>+G183*F183</f>
        <v>0</v>
      </c>
      <c r="I183" s="192"/>
      <c r="J183" s="68"/>
      <c r="K183" s="43"/>
      <c r="L183" s="43"/>
    </row>
    <row r="184" spans="1:12" s="76" customFormat="1" x14ac:dyDescent="0.2">
      <c r="A184" s="213"/>
      <c r="B184" s="160"/>
      <c r="C184" s="53"/>
      <c r="D184" s="64" t="s">
        <v>13</v>
      </c>
      <c r="E184" s="339" t="s">
        <v>59</v>
      </c>
      <c r="F184" s="328">
        <f>E178</f>
        <v>0</v>
      </c>
      <c r="G184" s="188">
        <v>0</v>
      </c>
      <c r="H184" s="188">
        <f>+G184*F184</f>
        <v>0</v>
      </c>
      <c r="I184" s="192"/>
      <c r="J184" s="68"/>
      <c r="K184" s="43"/>
      <c r="L184" s="43"/>
    </row>
    <row r="185" spans="1:12" s="76" customFormat="1" x14ac:dyDescent="0.2">
      <c r="A185" s="213"/>
      <c r="B185" s="180"/>
      <c r="C185" s="53"/>
      <c r="D185" s="64" t="s">
        <v>139</v>
      </c>
      <c r="E185" s="326" t="s">
        <v>111</v>
      </c>
      <c r="F185" s="333">
        <f>+G179+G180+G184</f>
        <v>3.5</v>
      </c>
      <c r="G185" s="187" t="s">
        <v>130</v>
      </c>
      <c r="H185" s="188">
        <f>SUM(H179:H184)</f>
        <v>193055.16999999998</v>
      </c>
      <c r="I185" s="185"/>
      <c r="J185" s="68"/>
      <c r="K185" s="43"/>
      <c r="L185" s="43"/>
    </row>
    <row r="186" spans="1:12" s="76" customFormat="1" x14ac:dyDescent="0.2">
      <c r="A186" s="213"/>
      <c r="B186" s="177"/>
      <c r="C186" s="53"/>
      <c r="D186" s="93" t="s">
        <v>129</v>
      </c>
      <c r="E186" s="326" t="s">
        <v>111</v>
      </c>
      <c r="F186" s="328"/>
      <c r="G186" s="343"/>
      <c r="H186" s="188">
        <f>H185*8.33%</f>
        <v>16081.495660999999</v>
      </c>
      <c r="I186" s="189"/>
      <c r="J186" s="179"/>
      <c r="K186" s="43"/>
      <c r="L186" s="43"/>
    </row>
    <row r="187" spans="1:12" s="76" customFormat="1" x14ac:dyDescent="0.2">
      <c r="A187" s="213"/>
      <c r="B187" s="177"/>
      <c r="C187" s="53"/>
      <c r="D187" s="361" t="s">
        <v>257</v>
      </c>
      <c r="E187" s="326" t="s">
        <v>111</v>
      </c>
      <c r="F187" s="328"/>
      <c r="G187" s="331"/>
      <c r="H187" s="188">
        <f>H185*7%</f>
        <v>13513.8619</v>
      </c>
      <c r="I187" s="190">
        <v>0</v>
      </c>
      <c r="J187" s="79">
        <f>+(H185+H186+H187)*C178</f>
        <v>222650.52756099997</v>
      </c>
      <c r="K187" s="43"/>
      <c r="L187" s="43"/>
    </row>
    <row r="188" spans="1:12" s="76" customFormat="1" x14ac:dyDescent="0.2">
      <c r="A188" s="213"/>
      <c r="B188" s="160"/>
      <c r="C188" s="53"/>
      <c r="D188" s="80"/>
      <c r="E188" s="332"/>
      <c r="F188" s="333"/>
      <c r="G188" s="334"/>
      <c r="H188" s="335"/>
      <c r="I188" s="192"/>
      <c r="J188" s="68"/>
      <c r="K188" s="43"/>
      <c r="L188" s="43"/>
    </row>
    <row r="189" spans="1:12" s="76" customFormat="1" ht="15" customHeight="1" x14ac:dyDescent="0.2">
      <c r="A189" s="213"/>
      <c r="B189" s="159"/>
      <c r="C189" s="13">
        <v>1</v>
      </c>
      <c r="D189" s="198" t="s">
        <v>148</v>
      </c>
      <c r="E189" s="336"/>
      <c r="F189" s="333"/>
      <c r="G189" s="349"/>
      <c r="H189" s="338"/>
      <c r="I189" s="193"/>
      <c r="J189" s="117"/>
      <c r="K189" s="43"/>
      <c r="L189" s="43"/>
    </row>
    <row r="190" spans="1:12" s="76" customFormat="1" x14ac:dyDescent="0.2">
      <c r="A190" s="213"/>
      <c r="B190" s="160"/>
      <c r="C190" s="53"/>
      <c r="D190" s="64" t="s">
        <v>84</v>
      </c>
      <c r="E190" s="66" t="s">
        <v>138</v>
      </c>
      <c r="F190" s="184">
        <v>43881.81</v>
      </c>
      <c r="G190" s="52">
        <v>1</v>
      </c>
      <c r="H190" s="24">
        <f t="shared" ref="H190:H195" si="3">+G190*F190</f>
        <v>43881.81</v>
      </c>
      <c r="I190" s="192"/>
      <c r="J190" s="68"/>
      <c r="K190" s="43"/>
      <c r="L190" s="43"/>
    </row>
    <row r="191" spans="1:12" s="76" customFormat="1" x14ac:dyDescent="0.2">
      <c r="A191" s="213"/>
      <c r="B191" s="160"/>
      <c r="C191" s="53"/>
      <c r="D191" s="64" t="s">
        <v>78</v>
      </c>
      <c r="E191" s="339" t="s">
        <v>138</v>
      </c>
      <c r="F191" s="328">
        <v>43881.81</v>
      </c>
      <c r="G191" s="341">
        <v>2.5</v>
      </c>
      <c r="H191" s="188">
        <f>+G191*F191</f>
        <v>109704.52499999999</v>
      </c>
      <c r="I191" s="192"/>
      <c r="J191" s="68"/>
      <c r="K191" s="43"/>
      <c r="L191" s="43"/>
    </row>
    <row r="192" spans="1:12" s="76" customFormat="1" x14ac:dyDescent="0.2">
      <c r="A192" s="213"/>
      <c r="B192" s="160"/>
      <c r="C192" s="53"/>
      <c r="D192" s="64" t="s">
        <v>140</v>
      </c>
      <c r="E192" s="342">
        <f>22*3</f>
        <v>66</v>
      </c>
      <c r="F192" s="328">
        <v>398.92</v>
      </c>
      <c r="G192" s="340">
        <f>+F196</f>
        <v>3.5</v>
      </c>
      <c r="H192" s="188">
        <f>+G192*F192*E192</f>
        <v>92150.52</v>
      </c>
      <c r="I192" s="192"/>
      <c r="J192" s="68"/>
      <c r="K192" s="43"/>
      <c r="L192" s="43"/>
    </row>
    <row r="193" spans="1:12" s="76" customFormat="1" x14ac:dyDescent="0.2">
      <c r="A193" s="213"/>
      <c r="B193" s="160"/>
      <c r="C193" s="53"/>
      <c r="D193" s="64" t="s">
        <v>14</v>
      </c>
      <c r="E193" s="326" t="s">
        <v>113</v>
      </c>
      <c r="F193" s="328">
        <f>E189/5*1.5</f>
        <v>0</v>
      </c>
      <c r="G193" s="188">
        <f>$H$3</f>
        <v>50</v>
      </c>
      <c r="H193" s="188">
        <f t="shared" si="3"/>
        <v>0</v>
      </c>
      <c r="I193" s="192"/>
      <c r="J193" s="68"/>
      <c r="K193" s="43"/>
      <c r="L193" s="43"/>
    </row>
    <row r="194" spans="1:12" s="76" customFormat="1" x14ac:dyDescent="0.2">
      <c r="A194" s="213"/>
      <c r="B194" s="160"/>
      <c r="C194" s="53"/>
      <c r="D194" s="64" t="s">
        <v>16</v>
      </c>
      <c r="E194" s="326" t="s">
        <v>113</v>
      </c>
      <c r="F194" s="328">
        <f>E189/5*2</f>
        <v>0</v>
      </c>
      <c r="G194" s="188">
        <f>$H$4</f>
        <v>40</v>
      </c>
      <c r="H194" s="188">
        <f t="shared" si="3"/>
        <v>0</v>
      </c>
      <c r="I194" s="192"/>
      <c r="J194" s="68"/>
      <c r="K194" s="43"/>
      <c r="L194" s="43"/>
    </row>
    <row r="195" spans="1:12" s="76" customFormat="1" x14ac:dyDescent="0.2">
      <c r="A195" s="213"/>
      <c r="B195" s="160"/>
      <c r="C195" s="53"/>
      <c r="D195" s="64" t="s">
        <v>13</v>
      </c>
      <c r="E195" s="339" t="s">
        <v>59</v>
      </c>
      <c r="F195" s="328">
        <f>E189</f>
        <v>0</v>
      </c>
      <c r="G195" s="188">
        <v>0</v>
      </c>
      <c r="H195" s="188">
        <f t="shared" si="3"/>
        <v>0</v>
      </c>
      <c r="I195" s="192"/>
      <c r="J195" s="68"/>
      <c r="K195" s="43"/>
      <c r="L195" s="43"/>
    </row>
    <row r="196" spans="1:12" s="76" customFormat="1" x14ac:dyDescent="0.2">
      <c r="A196" s="213"/>
      <c r="B196" s="180"/>
      <c r="C196" s="53"/>
      <c r="D196" s="64" t="s">
        <v>139</v>
      </c>
      <c r="E196" s="326" t="s">
        <v>111</v>
      </c>
      <c r="F196" s="333">
        <f>+G190+G191+G195</f>
        <v>3.5</v>
      </c>
      <c r="G196" s="187" t="s">
        <v>130</v>
      </c>
      <c r="H196" s="188">
        <f>SUM(H190:H195)</f>
        <v>245736.85499999998</v>
      </c>
      <c r="I196" s="185"/>
      <c r="J196" s="68"/>
      <c r="K196" s="43"/>
      <c r="L196" s="43"/>
    </row>
    <row r="197" spans="1:12" s="76" customFormat="1" x14ac:dyDescent="0.2">
      <c r="A197" s="213"/>
      <c r="B197" s="177"/>
      <c r="C197" s="53"/>
      <c r="D197" s="93" t="s">
        <v>129</v>
      </c>
      <c r="E197" s="326" t="s">
        <v>111</v>
      </c>
      <c r="F197" s="328"/>
      <c r="G197" s="343"/>
      <c r="H197" s="188">
        <f>H196*8.33%</f>
        <v>20469.880021499997</v>
      </c>
      <c r="I197" s="189"/>
      <c r="J197" s="179"/>
      <c r="K197" s="43"/>
      <c r="L197" s="43"/>
    </row>
    <row r="198" spans="1:12" s="76" customFormat="1" x14ac:dyDescent="0.2">
      <c r="A198" s="213"/>
      <c r="B198" s="177"/>
      <c r="C198" s="53"/>
      <c r="D198" s="361" t="s">
        <v>257</v>
      </c>
      <c r="E198" s="328"/>
      <c r="F198" s="328"/>
      <c r="G198" s="331"/>
      <c r="H198" s="188">
        <f>H196*7%</f>
        <v>17201.579850000002</v>
      </c>
      <c r="I198" s="190">
        <v>0</v>
      </c>
      <c r="J198" s="79">
        <f>+(H196+H197+H198)*C189</f>
        <v>283408.31487149996</v>
      </c>
      <c r="K198" s="43"/>
      <c r="L198" s="43"/>
    </row>
    <row r="199" spans="1:12" s="76" customFormat="1" x14ac:dyDescent="0.2">
      <c r="A199" s="213"/>
      <c r="B199" s="160"/>
      <c r="C199" s="53"/>
      <c r="D199" s="80"/>
      <c r="E199" s="332"/>
      <c r="F199" s="333"/>
      <c r="G199" s="334"/>
      <c r="H199" s="335"/>
      <c r="I199" s="192"/>
      <c r="J199" s="68"/>
      <c r="K199" s="43"/>
      <c r="L199" s="43"/>
    </row>
    <row r="200" spans="1:12" s="76" customFormat="1" ht="15" customHeight="1" x14ac:dyDescent="0.2">
      <c r="A200" s="213"/>
      <c r="B200" s="159"/>
      <c r="C200" s="13">
        <v>1</v>
      </c>
      <c r="D200" s="198" t="s">
        <v>149</v>
      </c>
      <c r="E200" s="336"/>
      <c r="F200" s="333"/>
      <c r="G200" s="349"/>
      <c r="H200" s="338"/>
      <c r="I200" s="193"/>
      <c r="J200" s="117"/>
      <c r="K200" s="43"/>
      <c r="L200" s="43"/>
    </row>
    <row r="201" spans="1:12" s="76" customFormat="1" x14ac:dyDescent="0.2">
      <c r="A201" s="213"/>
      <c r="B201" s="160"/>
      <c r="C201" s="53"/>
      <c r="D201" s="64" t="s">
        <v>84</v>
      </c>
      <c r="E201" s="339" t="s">
        <v>138</v>
      </c>
      <c r="F201" s="328">
        <v>37371.11</v>
      </c>
      <c r="G201" s="340">
        <v>0.25</v>
      </c>
      <c r="H201" s="188">
        <f>+G201*F201</f>
        <v>9342.7775000000001</v>
      </c>
      <c r="I201" s="192"/>
      <c r="J201" s="68"/>
      <c r="K201" s="43"/>
      <c r="L201" s="43"/>
    </row>
    <row r="202" spans="1:12" s="76" customFormat="1" x14ac:dyDescent="0.2">
      <c r="A202" s="213"/>
      <c r="B202" s="160"/>
      <c r="C202" s="53"/>
      <c r="D202" s="64" t="s">
        <v>78</v>
      </c>
      <c r="E202" s="339" t="s">
        <v>138</v>
      </c>
      <c r="F202" s="328">
        <v>37371.11</v>
      </c>
      <c r="G202" s="341">
        <v>2.5</v>
      </c>
      <c r="H202" s="188">
        <f>+G202*F202</f>
        <v>93427.774999999994</v>
      </c>
      <c r="I202" s="192"/>
      <c r="J202" s="68"/>
      <c r="K202" s="43"/>
      <c r="L202" s="43"/>
    </row>
    <row r="203" spans="1:12" s="76" customFormat="1" x14ac:dyDescent="0.2">
      <c r="A203" s="213"/>
      <c r="B203" s="160"/>
      <c r="C203" s="53"/>
      <c r="D203" s="64" t="s">
        <v>140</v>
      </c>
      <c r="E203" s="342">
        <f>22*3</f>
        <v>66</v>
      </c>
      <c r="F203" s="328">
        <v>339.73</v>
      </c>
      <c r="G203" s="340">
        <f>+F207</f>
        <v>2.75</v>
      </c>
      <c r="H203" s="188">
        <f>+G203*F203*E203</f>
        <v>61660.995000000003</v>
      </c>
      <c r="I203" s="192"/>
      <c r="J203" s="68"/>
      <c r="K203" s="43"/>
      <c r="L203" s="43"/>
    </row>
    <row r="204" spans="1:12" s="76" customFormat="1" x14ac:dyDescent="0.2">
      <c r="A204" s="213"/>
      <c r="B204" s="160"/>
      <c r="C204" s="53"/>
      <c r="D204" s="64" t="s">
        <v>14</v>
      </c>
      <c r="E204" s="326" t="s">
        <v>113</v>
      </c>
      <c r="F204" s="328">
        <f>E200/5*1.5</f>
        <v>0</v>
      </c>
      <c r="G204" s="188">
        <f>$H$3</f>
        <v>50</v>
      </c>
      <c r="H204" s="188">
        <f>+G204*F204</f>
        <v>0</v>
      </c>
      <c r="I204" s="192"/>
      <c r="J204" s="68"/>
      <c r="K204" s="43"/>
      <c r="L204" s="43"/>
    </row>
    <row r="205" spans="1:12" s="76" customFormat="1" x14ac:dyDescent="0.2">
      <c r="A205" s="213"/>
      <c r="B205" s="160"/>
      <c r="C205" s="53"/>
      <c r="D205" s="64" t="s">
        <v>16</v>
      </c>
      <c r="E205" s="326" t="s">
        <v>113</v>
      </c>
      <c r="F205" s="328">
        <f>E200/5*2</f>
        <v>0</v>
      </c>
      <c r="G205" s="188">
        <f>$H$4</f>
        <v>40</v>
      </c>
      <c r="H205" s="188">
        <f>+G205*F205</f>
        <v>0</v>
      </c>
      <c r="I205" s="192"/>
      <c r="J205" s="68"/>
      <c r="K205" s="43"/>
      <c r="L205" s="43"/>
    </row>
    <row r="206" spans="1:12" s="76" customFormat="1" x14ac:dyDescent="0.2">
      <c r="A206" s="213"/>
      <c r="B206" s="160"/>
      <c r="C206" s="53"/>
      <c r="D206" s="64" t="s">
        <v>13</v>
      </c>
      <c r="E206" s="339" t="s">
        <v>59</v>
      </c>
      <c r="F206" s="328">
        <f>E200</f>
        <v>0</v>
      </c>
      <c r="G206" s="188">
        <v>0</v>
      </c>
      <c r="H206" s="188">
        <f>+G206*F206</f>
        <v>0</v>
      </c>
      <c r="I206" s="192"/>
      <c r="J206" s="68"/>
      <c r="K206" s="43"/>
      <c r="L206" s="43"/>
    </row>
    <row r="207" spans="1:12" s="76" customFormat="1" x14ac:dyDescent="0.2">
      <c r="A207" s="213"/>
      <c r="B207" s="180"/>
      <c r="C207" s="53"/>
      <c r="D207" s="64" t="s">
        <v>139</v>
      </c>
      <c r="E207" s="326" t="s">
        <v>111</v>
      </c>
      <c r="F207" s="333">
        <f>+G201+G202+G206</f>
        <v>2.75</v>
      </c>
      <c r="G207" s="187" t="s">
        <v>130</v>
      </c>
      <c r="H207" s="188">
        <f>SUM(H201:H206)</f>
        <v>164431.54749999999</v>
      </c>
      <c r="I207" s="185"/>
      <c r="J207" s="68"/>
      <c r="K207" s="43"/>
      <c r="L207" s="43"/>
    </row>
    <row r="208" spans="1:12" s="76" customFormat="1" x14ac:dyDescent="0.2">
      <c r="A208" s="213"/>
      <c r="B208" s="177"/>
      <c r="C208" s="53"/>
      <c r="D208" s="93" t="s">
        <v>129</v>
      </c>
      <c r="E208" s="326" t="s">
        <v>111</v>
      </c>
      <c r="F208" s="328"/>
      <c r="G208" s="343"/>
      <c r="H208" s="188">
        <f>H207*8.33%</f>
        <v>13697.147906749999</v>
      </c>
      <c r="I208" s="189"/>
      <c r="J208" s="179"/>
      <c r="K208" s="43"/>
      <c r="L208" s="43"/>
    </row>
    <row r="209" spans="1:12" s="76" customFormat="1" x14ac:dyDescent="0.2">
      <c r="A209" s="213"/>
      <c r="B209" s="177"/>
      <c r="C209" s="53"/>
      <c r="D209" s="361" t="s">
        <v>257</v>
      </c>
      <c r="E209" s="328"/>
      <c r="F209" s="328"/>
      <c r="G209" s="331"/>
      <c r="H209" s="188">
        <f>H207*7%</f>
        <v>11510.208325</v>
      </c>
      <c r="I209" s="190">
        <v>0</v>
      </c>
      <c r="J209" s="79">
        <f>+(H207+H208+H209)*C200</f>
        <v>189638.90373174998</v>
      </c>
      <c r="K209" s="43"/>
      <c r="L209" s="43"/>
    </row>
    <row r="210" spans="1:12" s="76" customFormat="1" x14ac:dyDescent="0.2">
      <c r="A210" s="213"/>
      <c r="B210" s="160"/>
      <c r="C210" s="53"/>
      <c r="D210" s="80"/>
      <c r="E210" s="344"/>
      <c r="F210" s="333"/>
      <c r="G210" s="334"/>
      <c r="H210" s="335"/>
      <c r="I210" s="192"/>
      <c r="J210" s="68"/>
      <c r="K210" s="43"/>
      <c r="L210" s="43"/>
    </row>
    <row r="211" spans="1:12" s="76" customFormat="1" ht="15" customHeight="1" x14ac:dyDescent="0.2">
      <c r="A211" s="213"/>
      <c r="B211" s="159"/>
      <c r="C211" s="13">
        <v>1</v>
      </c>
      <c r="D211" s="198" t="s">
        <v>346</v>
      </c>
      <c r="E211" s="336">
        <v>58032.75</v>
      </c>
      <c r="F211" s="333"/>
      <c r="G211" s="337"/>
      <c r="H211" s="338"/>
      <c r="I211" s="183"/>
      <c r="J211" s="117"/>
      <c r="K211" s="43"/>
      <c r="L211" s="43"/>
    </row>
    <row r="212" spans="1:12" s="76" customFormat="1" x14ac:dyDescent="0.2">
      <c r="A212" s="213"/>
      <c r="B212" s="160"/>
      <c r="C212" s="53"/>
      <c r="D212" s="64" t="s">
        <v>84</v>
      </c>
      <c r="E212" s="66" t="s">
        <v>138</v>
      </c>
      <c r="F212" s="184">
        <v>58032.75</v>
      </c>
      <c r="G212" s="52">
        <v>1</v>
      </c>
      <c r="H212" s="24">
        <f>+G212*F212</f>
        <v>58032.75</v>
      </c>
      <c r="I212" s="185"/>
      <c r="J212" s="68"/>
      <c r="K212" s="43"/>
      <c r="L212" s="43"/>
    </row>
    <row r="213" spans="1:12" s="76" customFormat="1" x14ac:dyDescent="0.2">
      <c r="A213" s="213"/>
      <c r="B213" s="160"/>
      <c r="C213" s="53"/>
      <c r="D213" s="64" t="s">
        <v>78</v>
      </c>
      <c r="E213" s="339" t="s">
        <v>138</v>
      </c>
      <c r="F213" s="328">
        <v>58032.75</v>
      </c>
      <c r="G213" s="340">
        <v>2.5</v>
      </c>
      <c r="H213" s="188">
        <f>+G213*F213</f>
        <v>145081.875</v>
      </c>
      <c r="I213" s="185"/>
      <c r="J213" s="68"/>
      <c r="K213" s="43"/>
      <c r="L213" s="43"/>
    </row>
    <row r="214" spans="1:12" s="76" customFormat="1" x14ac:dyDescent="0.2">
      <c r="A214" s="213"/>
      <c r="B214" s="160"/>
      <c r="C214" s="53"/>
      <c r="D214" s="64" t="s">
        <v>140</v>
      </c>
      <c r="E214" s="342">
        <f>22*3</f>
        <v>66</v>
      </c>
      <c r="F214" s="328">
        <v>527.75</v>
      </c>
      <c r="G214" s="340">
        <f>+F218</f>
        <v>3.5</v>
      </c>
      <c r="H214" s="188">
        <f>+G214*F214*E214</f>
        <v>121910.25</v>
      </c>
      <c r="I214" s="185"/>
      <c r="J214" s="68"/>
      <c r="K214" s="43"/>
      <c r="L214" s="43"/>
    </row>
    <row r="215" spans="1:12" s="76" customFormat="1" x14ac:dyDescent="0.2">
      <c r="A215" s="213"/>
      <c r="B215" s="160"/>
      <c r="C215" s="53"/>
      <c r="D215" s="64" t="s">
        <v>14</v>
      </c>
      <c r="E215" s="326" t="s">
        <v>113</v>
      </c>
      <c r="F215" s="328">
        <v>0</v>
      </c>
      <c r="G215" s="188">
        <f>$H$3</f>
        <v>50</v>
      </c>
      <c r="H215" s="188">
        <f>+G215*F215</f>
        <v>0</v>
      </c>
      <c r="I215" s="185"/>
      <c r="J215" s="68"/>
      <c r="K215" s="43"/>
      <c r="L215" s="43"/>
    </row>
    <row r="216" spans="1:12" s="76" customFormat="1" x14ac:dyDescent="0.2">
      <c r="A216" s="213"/>
      <c r="B216" s="160"/>
      <c r="C216" s="53"/>
      <c r="D216" s="64" t="s">
        <v>16</v>
      </c>
      <c r="E216" s="326" t="s">
        <v>113</v>
      </c>
      <c r="F216" s="328">
        <v>0</v>
      </c>
      <c r="G216" s="188">
        <f>$H$4</f>
        <v>40</v>
      </c>
      <c r="H216" s="188">
        <f>+G216*F216</f>
        <v>0</v>
      </c>
      <c r="I216" s="185"/>
      <c r="J216" s="68"/>
      <c r="K216" s="43"/>
      <c r="L216" s="43"/>
    </row>
    <row r="217" spans="1:12" s="76" customFormat="1" x14ac:dyDescent="0.2">
      <c r="A217" s="213"/>
      <c r="B217" s="160"/>
      <c r="C217" s="53"/>
      <c r="D217" s="64" t="s">
        <v>13</v>
      </c>
      <c r="E217" s="339" t="s">
        <v>59</v>
      </c>
      <c r="F217" s="328">
        <f>E211</f>
        <v>58032.75</v>
      </c>
      <c r="G217" s="188">
        <v>0</v>
      </c>
      <c r="H217" s="188">
        <f>+G217*F217</f>
        <v>0</v>
      </c>
      <c r="I217" s="185"/>
      <c r="J217" s="68"/>
      <c r="K217" s="43"/>
      <c r="L217" s="43"/>
    </row>
    <row r="218" spans="1:12" s="76" customFormat="1" x14ac:dyDescent="0.2">
      <c r="A218" s="213"/>
      <c r="B218" s="180"/>
      <c r="C218" s="53"/>
      <c r="D218" s="64" t="s">
        <v>139</v>
      </c>
      <c r="E218" s="326" t="s">
        <v>111</v>
      </c>
      <c r="F218" s="333">
        <f>+G212+G213+G217</f>
        <v>3.5</v>
      </c>
      <c r="G218" s="187" t="s">
        <v>130</v>
      </c>
      <c r="H218" s="188">
        <f>SUM(H212:H217)</f>
        <v>325024.875</v>
      </c>
      <c r="I218" s="185"/>
      <c r="J218" s="68"/>
      <c r="K218" s="43"/>
      <c r="L218" s="43"/>
    </row>
    <row r="219" spans="1:12" s="76" customFormat="1" x14ac:dyDescent="0.2">
      <c r="A219" s="213"/>
      <c r="B219" s="177"/>
      <c r="C219" s="53"/>
      <c r="D219" s="93" t="s">
        <v>129</v>
      </c>
      <c r="E219" s="326" t="s">
        <v>111</v>
      </c>
      <c r="F219" s="328"/>
      <c r="G219" s="343"/>
      <c r="H219" s="188">
        <f>H218*8.33%</f>
        <v>27074.572087500001</v>
      </c>
      <c r="I219" s="189"/>
      <c r="J219" s="179"/>
      <c r="K219" s="43"/>
      <c r="L219" s="43"/>
    </row>
    <row r="220" spans="1:12" s="76" customFormat="1" x14ac:dyDescent="0.2">
      <c r="A220" s="213"/>
      <c r="B220" s="177"/>
      <c r="C220" s="53"/>
      <c r="D220" s="361" t="s">
        <v>257</v>
      </c>
      <c r="E220" s="328"/>
      <c r="F220" s="328"/>
      <c r="G220" s="331"/>
      <c r="H220" s="188">
        <f>H218*7%</f>
        <v>22751.741250000003</v>
      </c>
      <c r="I220" s="190">
        <v>0</v>
      </c>
      <c r="J220" s="79">
        <f>+(H218+H219+H220)*C211</f>
        <v>374851.18833750003</v>
      </c>
      <c r="K220" s="43"/>
      <c r="L220" s="43"/>
    </row>
    <row r="221" spans="1:12" s="76" customFormat="1" x14ac:dyDescent="0.2">
      <c r="A221" s="213"/>
      <c r="B221" s="160"/>
      <c r="C221" s="53"/>
      <c r="D221" s="80"/>
      <c r="E221" s="332"/>
      <c r="F221" s="333"/>
      <c r="G221" s="334"/>
      <c r="H221" s="335"/>
      <c r="I221" s="192"/>
      <c r="J221" s="68"/>
      <c r="K221" s="43"/>
      <c r="L221" s="43"/>
    </row>
    <row r="222" spans="1:12" s="76" customFormat="1" ht="15" customHeight="1" x14ac:dyDescent="0.2">
      <c r="A222" s="213"/>
      <c r="B222" s="159"/>
      <c r="C222" s="13">
        <v>1</v>
      </c>
      <c r="D222" s="198" t="s">
        <v>347</v>
      </c>
      <c r="E222" s="336">
        <v>58032.75</v>
      </c>
      <c r="F222" s="333"/>
      <c r="G222" s="349"/>
      <c r="H222" s="338"/>
      <c r="I222" s="193"/>
      <c r="J222" s="117"/>
      <c r="K222" s="43"/>
      <c r="L222" s="43"/>
    </row>
    <row r="223" spans="1:12" s="76" customFormat="1" x14ac:dyDescent="0.2">
      <c r="A223" s="213"/>
      <c r="B223" s="160"/>
      <c r="C223" s="53"/>
      <c r="D223" s="64" t="s">
        <v>84</v>
      </c>
      <c r="E223" s="339" t="s">
        <v>138</v>
      </c>
      <c r="F223" s="328">
        <v>58032.75</v>
      </c>
      <c r="G223" s="340">
        <v>0.25</v>
      </c>
      <c r="H223" s="188">
        <f t="shared" ref="H223:H228" si="4">+G223*F223</f>
        <v>14508.1875</v>
      </c>
      <c r="I223" s="192"/>
      <c r="J223" s="68"/>
      <c r="K223" s="43"/>
      <c r="L223" s="43"/>
    </row>
    <row r="224" spans="1:12" s="76" customFormat="1" x14ac:dyDescent="0.2">
      <c r="A224" s="213"/>
      <c r="B224" s="160"/>
      <c r="C224" s="53"/>
      <c r="D224" s="64" t="s">
        <v>78</v>
      </c>
      <c r="E224" s="339" t="s">
        <v>138</v>
      </c>
      <c r="F224" s="328">
        <v>58032.75</v>
      </c>
      <c r="G224" s="340">
        <v>2.5</v>
      </c>
      <c r="H224" s="188">
        <f t="shared" si="4"/>
        <v>145081.875</v>
      </c>
      <c r="I224" s="192"/>
      <c r="J224" s="68"/>
      <c r="K224" s="43"/>
      <c r="L224" s="43"/>
    </row>
    <row r="225" spans="1:12" s="76" customFormat="1" x14ac:dyDescent="0.2">
      <c r="A225" s="213"/>
      <c r="B225" s="160"/>
      <c r="C225" s="53"/>
      <c r="D225" s="64" t="s">
        <v>140</v>
      </c>
      <c r="E225" s="342">
        <f>22*3</f>
        <v>66</v>
      </c>
      <c r="F225" s="328">
        <v>527.75</v>
      </c>
      <c r="G225" s="340">
        <f>+F229</f>
        <v>2.75</v>
      </c>
      <c r="H225" s="188">
        <f>+G225*F225*E225</f>
        <v>95786.625</v>
      </c>
      <c r="I225" s="192"/>
      <c r="J225" s="68"/>
      <c r="K225" s="43"/>
      <c r="L225" s="43"/>
    </row>
    <row r="226" spans="1:12" s="76" customFormat="1" x14ac:dyDescent="0.2">
      <c r="A226" s="213"/>
      <c r="B226" s="160"/>
      <c r="C226" s="53"/>
      <c r="D226" s="64" t="s">
        <v>14</v>
      </c>
      <c r="E226" s="326" t="s">
        <v>113</v>
      </c>
      <c r="F226" s="328">
        <v>0</v>
      </c>
      <c r="G226" s="188">
        <f>$H$3</f>
        <v>50</v>
      </c>
      <c r="H226" s="188">
        <f t="shared" si="4"/>
        <v>0</v>
      </c>
      <c r="I226" s="192"/>
      <c r="J226" s="68"/>
      <c r="K226" s="43"/>
      <c r="L226" s="43"/>
    </row>
    <row r="227" spans="1:12" s="76" customFormat="1" x14ac:dyDescent="0.2">
      <c r="A227" s="213"/>
      <c r="B227" s="160"/>
      <c r="C227" s="53"/>
      <c r="D227" s="64" t="s">
        <v>16</v>
      </c>
      <c r="E227" s="326" t="s">
        <v>113</v>
      </c>
      <c r="F227" s="328">
        <v>0</v>
      </c>
      <c r="G227" s="188">
        <f>$H$4</f>
        <v>40</v>
      </c>
      <c r="H227" s="188">
        <f t="shared" si="4"/>
        <v>0</v>
      </c>
      <c r="I227" s="192"/>
      <c r="J227" s="68"/>
      <c r="K227" s="43"/>
      <c r="L227" s="43"/>
    </row>
    <row r="228" spans="1:12" s="76" customFormat="1" x14ac:dyDescent="0.2">
      <c r="A228" s="213"/>
      <c r="B228" s="160"/>
      <c r="C228" s="53"/>
      <c r="D228" s="64" t="s">
        <v>13</v>
      </c>
      <c r="E228" s="339" t="s">
        <v>59</v>
      </c>
      <c r="F228" s="328">
        <f>E222</f>
        <v>58032.75</v>
      </c>
      <c r="G228" s="188">
        <v>0</v>
      </c>
      <c r="H228" s="188">
        <f t="shared" si="4"/>
        <v>0</v>
      </c>
      <c r="I228" s="192"/>
      <c r="J228" s="68"/>
      <c r="K228" s="43"/>
      <c r="L228" s="43"/>
    </row>
    <row r="229" spans="1:12" s="76" customFormat="1" x14ac:dyDescent="0.2">
      <c r="A229" s="213"/>
      <c r="B229" s="180"/>
      <c r="C229" s="53"/>
      <c r="D229" s="64" t="s">
        <v>139</v>
      </c>
      <c r="E229" s="326" t="s">
        <v>111</v>
      </c>
      <c r="F229" s="333">
        <f>+G223+G224+G228</f>
        <v>2.75</v>
      </c>
      <c r="G229" s="187" t="s">
        <v>130</v>
      </c>
      <c r="H229" s="188">
        <f>SUM(H223:H228)</f>
        <v>255376.6875</v>
      </c>
      <c r="I229" s="185"/>
      <c r="J229" s="68"/>
      <c r="K229" s="43"/>
      <c r="L229" s="43"/>
    </row>
    <row r="230" spans="1:12" s="76" customFormat="1" x14ac:dyDescent="0.2">
      <c r="A230" s="213"/>
      <c r="B230" s="177"/>
      <c r="C230" s="53"/>
      <c r="D230" s="93" t="s">
        <v>129</v>
      </c>
      <c r="E230" s="326" t="s">
        <v>111</v>
      </c>
      <c r="F230" s="328"/>
      <c r="G230" s="343"/>
      <c r="H230" s="188">
        <f>H229*8.33%</f>
        <v>21272.87806875</v>
      </c>
      <c r="I230" s="189"/>
      <c r="J230" s="179"/>
      <c r="K230" s="43"/>
      <c r="L230" s="43"/>
    </row>
    <row r="231" spans="1:12" s="76" customFormat="1" x14ac:dyDescent="0.2">
      <c r="A231" s="213"/>
      <c r="B231" s="177"/>
      <c r="C231" s="53"/>
      <c r="D231" s="361" t="s">
        <v>257</v>
      </c>
      <c r="E231" s="328"/>
      <c r="F231" s="328"/>
      <c r="G231" s="331"/>
      <c r="H231" s="188">
        <f>H229*7%</f>
        <v>17876.368125000001</v>
      </c>
      <c r="I231" s="190">
        <v>0</v>
      </c>
      <c r="J231" s="79">
        <f>+(H229+H230+H231)*C222</f>
        <v>294525.93369375</v>
      </c>
      <c r="K231" s="43"/>
      <c r="L231" s="43"/>
    </row>
    <row r="232" spans="1:12" s="76" customFormat="1" x14ac:dyDescent="0.2">
      <c r="A232" s="213"/>
      <c r="B232" s="160"/>
      <c r="C232" s="53"/>
      <c r="D232" s="80"/>
      <c r="E232" s="332"/>
      <c r="F232" s="333"/>
      <c r="G232" s="334"/>
      <c r="H232" s="335"/>
      <c r="I232" s="192"/>
      <c r="J232" s="68"/>
      <c r="K232" s="43"/>
      <c r="L232" s="43"/>
    </row>
    <row r="233" spans="1:12" s="76" customFormat="1" ht="15" customHeight="1" x14ac:dyDescent="0.2">
      <c r="A233" s="213"/>
      <c r="B233" s="159"/>
      <c r="C233" s="13">
        <v>2</v>
      </c>
      <c r="D233" s="198" t="s">
        <v>191</v>
      </c>
      <c r="E233" s="336">
        <v>43881.81</v>
      </c>
      <c r="F233" s="333"/>
      <c r="G233" s="349"/>
      <c r="H233" s="338"/>
      <c r="I233" s="193"/>
      <c r="J233" s="117"/>
      <c r="K233" s="43"/>
      <c r="L233" s="43"/>
    </row>
    <row r="234" spans="1:12" s="76" customFormat="1" x14ac:dyDescent="0.2">
      <c r="A234" s="213"/>
      <c r="B234" s="160"/>
      <c r="C234" s="53"/>
      <c r="D234" s="64" t="s">
        <v>84</v>
      </c>
      <c r="E234" s="339" t="s">
        <v>138</v>
      </c>
      <c r="F234" s="328">
        <v>43881.81</v>
      </c>
      <c r="G234" s="340">
        <v>0</v>
      </c>
      <c r="H234" s="188">
        <f t="shared" ref="H234:H239" si="5">F234*G234</f>
        <v>0</v>
      </c>
      <c r="I234" s="192"/>
      <c r="J234" s="68"/>
      <c r="K234" s="43"/>
      <c r="L234" s="43"/>
    </row>
    <row r="235" spans="1:12" s="76" customFormat="1" x14ac:dyDescent="0.2">
      <c r="A235" s="213"/>
      <c r="B235" s="160"/>
      <c r="C235" s="53"/>
      <c r="D235" s="64" t="s">
        <v>78</v>
      </c>
      <c r="E235" s="339" t="s">
        <v>138</v>
      </c>
      <c r="F235" s="328">
        <v>43881.81</v>
      </c>
      <c r="G235" s="340">
        <v>2.5</v>
      </c>
      <c r="H235" s="188">
        <f t="shared" si="5"/>
        <v>109704.52499999999</v>
      </c>
      <c r="I235" s="192"/>
      <c r="J235" s="68"/>
      <c r="K235" s="43"/>
      <c r="L235" s="43"/>
    </row>
    <row r="236" spans="1:12" s="76" customFormat="1" x14ac:dyDescent="0.2">
      <c r="A236" s="213"/>
      <c r="B236" s="160"/>
      <c r="C236" s="53"/>
      <c r="D236" s="64" t="s">
        <v>140</v>
      </c>
      <c r="E236" s="342">
        <f>22*3</f>
        <v>66</v>
      </c>
      <c r="F236" s="328">
        <v>398.92</v>
      </c>
      <c r="G236" s="340">
        <f>+F240</f>
        <v>2.5</v>
      </c>
      <c r="H236" s="188">
        <f>+F236*E236*G236</f>
        <v>65821.8</v>
      </c>
      <c r="I236" s="192"/>
      <c r="J236" s="68"/>
      <c r="K236" s="43"/>
      <c r="L236" s="43"/>
    </row>
    <row r="237" spans="1:12" s="76" customFormat="1" x14ac:dyDescent="0.2">
      <c r="A237" s="213"/>
      <c r="B237" s="160"/>
      <c r="C237" s="53"/>
      <c r="D237" s="64" t="s">
        <v>14</v>
      </c>
      <c r="E237" s="326" t="s">
        <v>113</v>
      </c>
      <c r="F237" s="328">
        <v>0</v>
      </c>
      <c r="G237" s="188">
        <f>$H$3</f>
        <v>50</v>
      </c>
      <c r="H237" s="188">
        <f t="shared" si="5"/>
        <v>0</v>
      </c>
      <c r="I237" s="192"/>
      <c r="J237" s="68"/>
      <c r="K237" s="43"/>
      <c r="L237" s="43"/>
    </row>
    <row r="238" spans="1:12" s="76" customFormat="1" x14ac:dyDescent="0.2">
      <c r="A238" s="213"/>
      <c r="B238" s="160"/>
      <c r="C238" s="53"/>
      <c r="D238" s="64" t="s">
        <v>16</v>
      </c>
      <c r="E238" s="326" t="s">
        <v>113</v>
      </c>
      <c r="F238" s="328">
        <v>0</v>
      </c>
      <c r="G238" s="188">
        <f>$H$4</f>
        <v>40</v>
      </c>
      <c r="H238" s="188">
        <f t="shared" si="5"/>
        <v>0</v>
      </c>
      <c r="I238" s="192"/>
      <c r="J238" s="68"/>
      <c r="K238" s="43"/>
      <c r="L238" s="43"/>
    </row>
    <row r="239" spans="1:12" s="76" customFormat="1" x14ac:dyDescent="0.2">
      <c r="A239" s="213"/>
      <c r="B239" s="160"/>
      <c r="C239" s="53"/>
      <c r="D239" s="64" t="s">
        <v>13</v>
      </c>
      <c r="E239" s="339" t="s">
        <v>59</v>
      </c>
      <c r="F239" s="328">
        <f>E233</f>
        <v>43881.81</v>
      </c>
      <c r="G239" s="188">
        <v>0</v>
      </c>
      <c r="H239" s="188">
        <f t="shared" si="5"/>
        <v>0</v>
      </c>
      <c r="I239" s="192"/>
      <c r="J239" s="68"/>
      <c r="K239" s="43"/>
      <c r="L239" s="43"/>
    </row>
    <row r="240" spans="1:12" s="76" customFormat="1" x14ac:dyDescent="0.2">
      <c r="A240" s="213"/>
      <c r="B240" s="180"/>
      <c r="C240" s="53"/>
      <c r="D240" s="64" t="s">
        <v>139</v>
      </c>
      <c r="E240" s="326" t="s">
        <v>111</v>
      </c>
      <c r="F240" s="333">
        <f>+G234+G235+G239</f>
        <v>2.5</v>
      </c>
      <c r="G240" s="187" t="s">
        <v>130</v>
      </c>
      <c r="H240" s="188">
        <f>SUM(H234:H239)</f>
        <v>175526.32500000001</v>
      </c>
      <c r="I240" s="185"/>
      <c r="J240" s="68"/>
      <c r="K240" s="43"/>
      <c r="L240" s="43"/>
    </row>
    <row r="241" spans="1:12" s="76" customFormat="1" x14ac:dyDescent="0.2">
      <c r="A241" s="213"/>
      <c r="B241" s="177"/>
      <c r="C241" s="53"/>
      <c r="D241" s="93" t="s">
        <v>129</v>
      </c>
      <c r="E241" s="326" t="s">
        <v>111</v>
      </c>
      <c r="F241" s="328"/>
      <c r="G241" s="343"/>
      <c r="H241" s="188">
        <f>H240*8.33%</f>
        <v>14621.342872500001</v>
      </c>
      <c r="I241" s="189"/>
      <c r="J241" s="179"/>
      <c r="K241" s="43"/>
      <c r="L241" s="43"/>
    </row>
    <row r="242" spans="1:12" s="76" customFormat="1" x14ac:dyDescent="0.2">
      <c r="A242" s="213"/>
      <c r="B242" s="177"/>
      <c r="C242" s="53"/>
      <c r="D242" s="361" t="s">
        <v>257</v>
      </c>
      <c r="E242" s="328"/>
      <c r="F242" s="328"/>
      <c r="G242" s="331"/>
      <c r="H242" s="188">
        <f>H240*7%</f>
        <v>12286.842750000002</v>
      </c>
      <c r="I242" s="190">
        <v>0</v>
      </c>
      <c r="J242" s="79">
        <f>+(H240+H241+H242)*C233</f>
        <v>404869.02124500007</v>
      </c>
      <c r="K242" s="43"/>
      <c r="L242" s="43"/>
    </row>
    <row r="243" spans="1:12" s="76" customFormat="1" x14ac:dyDescent="0.2">
      <c r="A243" s="213"/>
      <c r="B243" s="160"/>
      <c r="C243" s="53"/>
      <c r="D243" s="80"/>
      <c r="E243" s="7"/>
      <c r="F243" s="181"/>
      <c r="G243" s="191"/>
      <c r="H243" s="27"/>
      <c r="I243" s="192"/>
      <c r="J243" s="68"/>
      <c r="K243" s="43"/>
      <c r="L243" s="43"/>
    </row>
    <row r="244" spans="1:12" s="76" customFormat="1" ht="15" customHeight="1" x14ac:dyDescent="0.2">
      <c r="A244" s="213"/>
      <c r="B244" s="159"/>
      <c r="C244" s="13">
        <v>2</v>
      </c>
      <c r="D244" s="198" t="s">
        <v>356</v>
      </c>
      <c r="E244" s="17">
        <v>40521.599999999999</v>
      </c>
      <c r="F244" s="181"/>
      <c r="G244" s="29"/>
      <c r="H244" s="182"/>
      <c r="I244" s="193"/>
      <c r="J244" s="117"/>
      <c r="K244" s="43"/>
      <c r="L244" s="43"/>
    </row>
    <row r="245" spans="1:12" s="76" customFormat="1" x14ac:dyDescent="0.2">
      <c r="A245" s="213"/>
      <c r="B245" s="160"/>
      <c r="C245" s="53"/>
      <c r="D245" s="64" t="s">
        <v>84</v>
      </c>
      <c r="E245" s="66" t="s">
        <v>138</v>
      </c>
      <c r="F245" s="184">
        <v>40521.599999999999</v>
      </c>
      <c r="G245" s="340">
        <v>0.2</v>
      </c>
      <c r="H245" s="24">
        <f>+G245*F245</f>
        <v>8104.32</v>
      </c>
      <c r="I245" s="192"/>
      <c r="J245" s="68"/>
      <c r="K245" s="43"/>
      <c r="L245" s="43"/>
    </row>
    <row r="246" spans="1:12" s="76" customFormat="1" x14ac:dyDescent="0.2">
      <c r="A246" s="213"/>
      <c r="B246" s="160"/>
      <c r="C246" s="53"/>
      <c r="D246" s="64" t="s">
        <v>78</v>
      </c>
      <c r="E246" s="339" t="s">
        <v>138</v>
      </c>
      <c r="F246" s="328">
        <v>40521.599999999999</v>
      </c>
      <c r="G246" s="340">
        <v>2.5</v>
      </c>
      <c r="H246" s="188">
        <f>+G246*F246</f>
        <v>101304</v>
      </c>
      <c r="I246" s="192"/>
      <c r="J246" s="68"/>
      <c r="K246" s="43"/>
      <c r="L246" s="43"/>
    </row>
    <row r="247" spans="1:12" s="76" customFormat="1" x14ac:dyDescent="0.2">
      <c r="A247" s="213"/>
      <c r="B247" s="160"/>
      <c r="C247" s="53"/>
      <c r="D247" s="64" t="s">
        <v>140</v>
      </c>
      <c r="E247" s="342">
        <f>22*3</f>
        <v>66</v>
      </c>
      <c r="F247" s="328">
        <v>339.73</v>
      </c>
      <c r="G247" s="340">
        <f>+F251</f>
        <v>2.7</v>
      </c>
      <c r="H247" s="188">
        <f>+G247*F247*E247</f>
        <v>60539.886000000006</v>
      </c>
      <c r="I247" s="192"/>
      <c r="J247" s="68"/>
      <c r="K247" s="43"/>
      <c r="L247" s="43"/>
    </row>
    <row r="248" spans="1:12" s="76" customFormat="1" x14ac:dyDescent="0.2">
      <c r="A248" s="213"/>
      <c r="B248" s="160"/>
      <c r="C248" s="53"/>
      <c r="D248" s="64" t="s">
        <v>14</v>
      </c>
      <c r="E248" s="326" t="s">
        <v>113</v>
      </c>
      <c r="F248" s="328">
        <v>0</v>
      </c>
      <c r="G248" s="188">
        <f>$H$3</f>
        <v>50</v>
      </c>
      <c r="H248" s="188">
        <f>+G248*F248</f>
        <v>0</v>
      </c>
      <c r="I248" s="192"/>
      <c r="J248" s="68"/>
      <c r="K248" s="43"/>
      <c r="L248" s="43"/>
    </row>
    <row r="249" spans="1:12" s="76" customFormat="1" x14ac:dyDescent="0.2">
      <c r="A249" s="213"/>
      <c r="B249" s="160"/>
      <c r="C249" s="53"/>
      <c r="D249" s="64" t="s">
        <v>16</v>
      </c>
      <c r="E249" s="326" t="s">
        <v>113</v>
      </c>
      <c r="F249" s="328">
        <v>0</v>
      </c>
      <c r="G249" s="188">
        <f>$H$4</f>
        <v>40</v>
      </c>
      <c r="H249" s="188">
        <f>+G249*F249</f>
        <v>0</v>
      </c>
      <c r="I249" s="192"/>
      <c r="J249" s="68"/>
      <c r="K249" s="43"/>
      <c r="L249" s="43"/>
    </row>
    <row r="250" spans="1:12" s="76" customFormat="1" x14ac:dyDescent="0.2">
      <c r="A250" s="213"/>
      <c r="B250" s="160"/>
      <c r="C250" s="53"/>
      <c r="D250" s="64" t="s">
        <v>13</v>
      </c>
      <c r="E250" s="339" t="s">
        <v>59</v>
      </c>
      <c r="F250" s="328">
        <f>E244</f>
        <v>40521.599999999999</v>
      </c>
      <c r="G250" s="188">
        <v>0</v>
      </c>
      <c r="H250" s="188">
        <f>+G250*F250</f>
        <v>0</v>
      </c>
      <c r="I250" s="192"/>
      <c r="J250" s="68"/>
      <c r="K250" s="43"/>
      <c r="L250" s="43"/>
    </row>
    <row r="251" spans="1:12" s="76" customFormat="1" x14ac:dyDescent="0.2">
      <c r="A251" s="213"/>
      <c r="B251" s="180"/>
      <c r="C251" s="53"/>
      <c r="D251" s="64" t="s">
        <v>139</v>
      </c>
      <c r="E251" s="326" t="s">
        <v>111</v>
      </c>
      <c r="F251" s="333">
        <f>+G245+G246+G250</f>
        <v>2.7</v>
      </c>
      <c r="G251" s="187" t="s">
        <v>130</v>
      </c>
      <c r="H251" s="188">
        <f>SUM(H245:H250)</f>
        <v>169948.20600000001</v>
      </c>
      <c r="I251" s="185"/>
      <c r="J251" s="68"/>
      <c r="K251" s="43"/>
      <c r="L251" s="43"/>
    </row>
    <row r="252" spans="1:12" s="76" customFormat="1" x14ac:dyDescent="0.2">
      <c r="A252" s="213"/>
      <c r="B252" s="177"/>
      <c r="C252" s="53"/>
      <c r="D252" s="93" t="s">
        <v>129</v>
      </c>
      <c r="E252" s="326" t="s">
        <v>111</v>
      </c>
      <c r="F252" s="328"/>
      <c r="G252" s="343"/>
      <c r="H252" s="188">
        <f>H251*8.33%</f>
        <v>14156.6855598</v>
      </c>
      <c r="I252" s="189"/>
      <c r="J252" s="179"/>
      <c r="K252" s="43"/>
      <c r="L252" s="43"/>
    </row>
    <row r="253" spans="1:12" s="76" customFormat="1" x14ac:dyDescent="0.2">
      <c r="A253" s="213"/>
      <c r="B253" s="177"/>
      <c r="C253" s="53"/>
      <c r="D253" s="361" t="s">
        <v>257</v>
      </c>
      <c r="E253" s="328"/>
      <c r="F253" s="328"/>
      <c r="G253" s="331"/>
      <c r="H253" s="188">
        <f>H251*7%</f>
        <v>11896.374420000002</v>
      </c>
      <c r="I253" s="190">
        <v>0</v>
      </c>
      <c r="J253" s="79">
        <f>+(H251+H252+H253)*C244</f>
        <v>392002.53195960005</v>
      </c>
      <c r="K253" s="43"/>
      <c r="L253" s="43"/>
    </row>
    <row r="254" spans="1:12" s="76" customFormat="1" x14ac:dyDescent="0.2">
      <c r="A254" s="213"/>
      <c r="B254" s="160"/>
      <c r="C254" s="53"/>
      <c r="D254" s="80"/>
      <c r="E254" s="332"/>
      <c r="F254" s="333"/>
      <c r="G254" s="334"/>
      <c r="H254" s="335"/>
      <c r="I254" s="192"/>
      <c r="J254" s="68"/>
      <c r="K254" s="43"/>
      <c r="L254" s="43"/>
    </row>
    <row r="255" spans="1:12" s="76" customFormat="1" ht="15" customHeight="1" x14ac:dyDescent="0.2">
      <c r="A255" s="302"/>
      <c r="B255" s="265"/>
      <c r="C255" s="13">
        <v>1</v>
      </c>
      <c r="D255" s="198" t="s">
        <v>353</v>
      </c>
      <c r="E255" s="17">
        <v>31896.05</v>
      </c>
      <c r="F255" s="181"/>
      <c r="G255" s="29"/>
      <c r="H255" s="182"/>
      <c r="I255" s="193"/>
      <c r="J255" s="117"/>
      <c r="K255" s="43"/>
      <c r="L255" s="43"/>
    </row>
    <row r="256" spans="1:12" s="76" customFormat="1" x14ac:dyDescent="0.2">
      <c r="A256" s="302"/>
      <c r="B256" s="320"/>
      <c r="C256" s="53"/>
      <c r="D256" s="64" t="s">
        <v>84</v>
      </c>
      <c r="E256" s="66" t="s">
        <v>138</v>
      </c>
      <c r="F256" s="184">
        <v>31896.05</v>
      </c>
      <c r="G256" s="340">
        <v>0.2</v>
      </c>
      <c r="H256" s="24">
        <f>+G256*F256</f>
        <v>6379.21</v>
      </c>
      <c r="I256" s="192"/>
      <c r="J256" s="68"/>
      <c r="K256" s="43"/>
      <c r="L256" s="43"/>
    </row>
    <row r="257" spans="1:12" s="76" customFormat="1" x14ac:dyDescent="0.2">
      <c r="A257" s="302"/>
      <c r="B257" s="320"/>
      <c r="C257" s="53"/>
      <c r="D257" s="64" t="s">
        <v>78</v>
      </c>
      <c r="E257" s="339" t="s">
        <v>138</v>
      </c>
      <c r="F257" s="328">
        <v>31896.05</v>
      </c>
      <c r="G257" s="340">
        <v>2.5</v>
      </c>
      <c r="H257" s="188">
        <f>+G257*F257</f>
        <v>79740.125</v>
      </c>
      <c r="I257" s="192"/>
      <c r="J257" s="68"/>
      <c r="K257" s="43"/>
      <c r="L257" s="43"/>
    </row>
    <row r="258" spans="1:12" s="76" customFormat="1" x14ac:dyDescent="0.2">
      <c r="A258" s="302"/>
      <c r="B258" s="320"/>
      <c r="C258" s="53"/>
      <c r="D258" s="64" t="s">
        <v>140</v>
      </c>
      <c r="E258" s="342">
        <f>22*3</f>
        <v>66</v>
      </c>
      <c r="F258" s="328">
        <v>266.99</v>
      </c>
      <c r="G258" s="340">
        <f>+F262</f>
        <v>2.7</v>
      </c>
      <c r="H258" s="188">
        <f>+G258*F258*E258</f>
        <v>47577.618000000002</v>
      </c>
      <c r="I258" s="192"/>
      <c r="J258" s="68"/>
      <c r="K258" s="43"/>
      <c r="L258" s="43"/>
    </row>
    <row r="259" spans="1:12" s="76" customFormat="1" x14ac:dyDescent="0.2">
      <c r="A259" s="302"/>
      <c r="B259" s="320"/>
      <c r="C259" s="53"/>
      <c r="D259" s="64" t="s">
        <v>14</v>
      </c>
      <c r="E259" s="326" t="s">
        <v>113</v>
      </c>
      <c r="F259" s="328">
        <v>0</v>
      </c>
      <c r="G259" s="188">
        <f>$H$3</f>
        <v>50</v>
      </c>
      <c r="H259" s="188">
        <f>+G259*F259</f>
        <v>0</v>
      </c>
      <c r="I259" s="192"/>
      <c r="J259" s="68"/>
      <c r="K259" s="43"/>
      <c r="L259" s="43"/>
    </row>
    <row r="260" spans="1:12" s="76" customFormat="1" x14ac:dyDescent="0.2">
      <c r="A260" s="302"/>
      <c r="B260" s="320"/>
      <c r="C260" s="53"/>
      <c r="D260" s="64" t="s">
        <v>16</v>
      </c>
      <c r="E260" s="326" t="s">
        <v>113</v>
      </c>
      <c r="F260" s="328">
        <v>0</v>
      </c>
      <c r="G260" s="188">
        <f>$H$4</f>
        <v>40</v>
      </c>
      <c r="H260" s="188">
        <f>+G260*F260</f>
        <v>0</v>
      </c>
      <c r="I260" s="192"/>
      <c r="J260" s="68"/>
      <c r="K260" s="43"/>
      <c r="L260" s="43"/>
    </row>
    <row r="261" spans="1:12" s="76" customFormat="1" x14ac:dyDescent="0.2">
      <c r="A261" s="302"/>
      <c r="B261" s="320"/>
      <c r="C261" s="53"/>
      <c r="D261" s="64" t="s">
        <v>13</v>
      </c>
      <c r="E261" s="339" t="s">
        <v>59</v>
      </c>
      <c r="F261" s="328">
        <f>E255</f>
        <v>31896.05</v>
      </c>
      <c r="G261" s="188">
        <v>0</v>
      </c>
      <c r="H261" s="188">
        <f>+G261*F261</f>
        <v>0</v>
      </c>
      <c r="I261" s="192"/>
      <c r="J261" s="68"/>
      <c r="K261" s="43"/>
      <c r="L261" s="43"/>
    </row>
    <row r="262" spans="1:12" s="76" customFormat="1" x14ac:dyDescent="0.2">
      <c r="A262" s="302"/>
      <c r="B262" s="320"/>
      <c r="C262" s="53"/>
      <c r="D262" s="64" t="s">
        <v>139</v>
      </c>
      <c r="E262" s="326" t="s">
        <v>111</v>
      </c>
      <c r="F262" s="333">
        <f>+G256+G257+G261</f>
        <v>2.7</v>
      </c>
      <c r="G262" s="187" t="s">
        <v>130</v>
      </c>
      <c r="H262" s="188">
        <f>SUM(H256:H261)</f>
        <v>133696.95300000001</v>
      </c>
      <c r="I262" s="185"/>
      <c r="J262" s="68"/>
      <c r="K262" s="43"/>
      <c r="L262" s="43"/>
    </row>
    <row r="263" spans="1:12" s="76" customFormat="1" x14ac:dyDescent="0.2">
      <c r="A263" s="302"/>
      <c r="B263" s="320"/>
      <c r="C263" s="53"/>
      <c r="D263" s="93" t="s">
        <v>129</v>
      </c>
      <c r="E263" s="326" t="s">
        <v>111</v>
      </c>
      <c r="F263" s="328"/>
      <c r="G263" s="343"/>
      <c r="H263" s="188">
        <f>H262*8.33%</f>
        <v>11136.9561849</v>
      </c>
      <c r="I263" s="189"/>
      <c r="J263" s="179"/>
      <c r="K263" s="43"/>
      <c r="L263" s="43"/>
    </row>
    <row r="264" spans="1:12" s="76" customFormat="1" x14ac:dyDescent="0.2">
      <c r="A264" s="302"/>
      <c r="B264" s="320"/>
      <c r="C264" s="53"/>
      <c r="D264" s="361" t="s">
        <v>257</v>
      </c>
      <c r="E264" s="328"/>
      <c r="F264" s="328"/>
      <c r="G264" s="331"/>
      <c r="H264" s="188">
        <f>H262*7%</f>
        <v>9358.7867100000021</v>
      </c>
      <c r="I264" s="190">
        <v>0</v>
      </c>
      <c r="J264" s="79">
        <f>+(H262+H263+H264)*C255</f>
        <v>154192.69589490001</v>
      </c>
      <c r="K264" s="43"/>
      <c r="L264" s="43"/>
    </row>
    <row r="265" spans="1:12" s="76" customFormat="1" x14ac:dyDescent="0.2">
      <c r="A265" s="302"/>
      <c r="B265" s="320"/>
      <c r="C265" s="53"/>
      <c r="D265" s="80"/>
      <c r="E265" s="332"/>
      <c r="F265" s="333"/>
      <c r="G265" s="334"/>
      <c r="H265" s="335"/>
      <c r="I265" s="192"/>
      <c r="J265" s="68"/>
      <c r="K265" s="43"/>
      <c r="L265" s="43"/>
    </row>
    <row r="266" spans="1:12" s="76" customFormat="1" ht="15" customHeight="1" x14ac:dyDescent="0.2">
      <c r="A266" s="213"/>
      <c r="B266" s="159"/>
      <c r="C266" s="13">
        <v>1</v>
      </c>
      <c r="D266" s="198" t="s">
        <v>355</v>
      </c>
      <c r="E266" s="336">
        <v>37371.11</v>
      </c>
      <c r="F266" s="333"/>
      <c r="G266" s="349"/>
      <c r="H266" s="338"/>
      <c r="I266" s="193"/>
      <c r="J266" s="117"/>
      <c r="K266" s="43"/>
      <c r="L266" s="43"/>
    </row>
    <row r="267" spans="1:12" s="76" customFormat="1" x14ac:dyDescent="0.2">
      <c r="A267" s="213"/>
      <c r="B267" s="160"/>
      <c r="C267" s="53"/>
      <c r="D267" s="64" t="s">
        <v>84</v>
      </c>
      <c r="E267" s="339" t="s">
        <v>138</v>
      </c>
      <c r="F267" s="328">
        <v>37371.11</v>
      </c>
      <c r="G267" s="340">
        <v>0.25</v>
      </c>
      <c r="H267" s="188">
        <f t="shared" ref="H267:H272" si="6">+G267*F267</f>
        <v>9342.7775000000001</v>
      </c>
      <c r="I267" s="192"/>
      <c r="J267" s="68"/>
      <c r="K267" s="43"/>
      <c r="L267" s="43"/>
    </row>
    <row r="268" spans="1:12" s="76" customFormat="1" x14ac:dyDescent="0.2">
      <c r="A268" s="213"/>
      <c r="B268" s="160"/>
      <c r="C268" s="53"/>
      <c r="D268" s="64" t="s">
        <v>78</v>
      </c>
      <c r="E268" s="339" t="s">
        <v>138</v>
      </c>
      <c r="F268" s="328">
        <v>37371.11</v>
      </c>
      <c r="G268" s="340">
        <v>2.5</v>
      </c>
      <c r="H268" s="188">
        <f t="shared" si="6"/>
        <v>93427.774999999994</v>
      </c>
      <c r="I268" s="192"/>
      <c r="J268" s="68"/>
      <c r="K268" s="43"/>
      <c r="L268" s="43"/>
    </row>
    <row r="269" spans="1:12" s="76" customFormat="1" x14ac:dyDescent="0.2">
      <c r="A269" s="213"/>
      <c r="B269" s="160"/>
      <c r="C269" s="53"/>
      <c r="D269" s="64" t="s">
        <v>140</v>
      </c>
      <c r="E269" s="342">
        <f>22*3</f>
        <v>66</v>
      </c>
      <c r="F269" s="328">
        <v>289.95999999999998</v>
      </c>
      <c r="G269" s="340">
        <f>+F273</f>
        <v>2.75</v>
      </c>
      <c r="H269" s="188">
        <f>+G269*F269*E269</f>
        <v>52627.74</v>
      </c>
      <c r="I269" s="192"/>
      <c r="J269" s="68"/>
      <c r="K269" s="43"/>
      <c r="L269" s="43"/>
    </row>
    <row r="270" spans="1:12" s="76" customFormat="1" x14ac:dyDescent="0.2">
      <c r="A270" s="213"/>
      <c r="B270" s="160"/>
      <c r="C270" s="53"/>
      <c r="D270" s="64" t="s">
        <v>14</v>
      </c>
      <c r="E270" s="326" t="s">
        <v>113</v>
      </c>
      <c r="F270" s="328">
        <v>0</v>
      </c>
      <c r="G270" s="188">
        <f>$H$3</f>
        <v>50</v>
      </c>
      <c r="H270" s="188">
        <f t="shared" si="6"/>
        <v>0</v>
      </c>
      <c r="I270" s="192"/>
      <c r="J270" s="68"/>
      <c r="K270" s="43"/>
      <c r="L270" s="43"/>
    </row>
    <row r="271" spans="1:12" s="76" customFormat="1" x14ac:dyDescent="0.2">
      <c r="A271" s="213"/>
      <c r="B271" s="160"/>
      <c r="C271" s="53"/>
      <c r="D271" s="64" t="s">
        <v>16</v>
      </c>
      <c r="E271" s="326" t="s">
        <v>113</v>
      </c>
      <c r="F271" s="328">
        <v>0</v>
      </c>
      <c r="G271" s="188">
        <f>$H$4</f>
        <v>40</v>
      </c>
      <c r="H271" s="188">
        <f t="shared" si="6"/>
        <v>0</v>
      </c>
      <c r="I271" s="192"/>
      <c r="J271" s="68"/>
      <c r="K271" s="43"/>
      <c r="L271" s="43"/>
    </row>
    <row r="272" spans="1:12" s="76" customFormat="1" x14ac:dyDescent="0.2">
      <c r="A272" s="213"/>
      <c r="B272" s="160"/>
      <c r="C272" s="53"/>
      <c r="D272" s="64" t="s">
        <v>13</v>
      </c>
      <c r="E272" s="339" t="s">
        <v>59</v>
      </c>
      <c r="F272" s="328">
        <f>E266</f>
        <v>37371.11</v>
      </c>
      <c r="G272" s="188">
        <v>0</v>
      </c>
      <c r="H272" s="188">
        <f t="shared" si="6"/>
        <v>0</v>
      </c>
      <c r="I272" s="192"/>
      <c r="J272" s="68"/>
      <c r="K272" s="43"/>
      <c r="L272" s="43"/>
    </row>
    <row r="273" spans="1:12" s="76" customFormat="1" x14ac:dyDescent="0.2">
      <c r="A273" s="213"/>
      <c r="B273" s="180"/>
      <c r="C273" s="53"/>
      <c r="D273" s="64" t="s">
        <v>139</v>
      </c>
      <c r="E273" s="326" t="s">
        <v>111</v>
      </c>
      <c r="F273" s="333">
        <f>+G267+G268+G272</f>
        <v>2.75</v>
      </c>
      <c r="G273" s="187" t="s">
        <v>130</v>
      </c>
      <c r="H273" s="188">
        <f>SUM(H267:H272)</f>
        <v>155398.29249999998</v>
      </c>
      <c r="I273" s="185"/>
      <c r="J273" s="68"/>
      <c r="K273" s="43"/>
      <c r="L273" s="43"/>
    </row>
    <row r="274" spans="1:12" s="76" customFormat="1" x14ac:dyDescent="0.2">
      <c r="A274" s="213"/>
      <c r="B274" s="177"/>
      <c r="C274" s="53"/>
      <c r="D274" s="93" t="s">
        <v>129</v>
      </c>
      <c r="E274" s="326" t="s">
        <v>111</v>
      </c>
      <c r="F274" s="328"/>
      <c r="G274" s="343"/>
      <c r="H274" s="188">
        <f>H273*8.33%</f>
        <v>12944.677765249999</v>
      </c>
      <c r="I274" s="189"/>
      <c r="J274" s="179"/>
      <c r="K274" s="43"/>
      <c r="L274" s="43"/>
    </row>
    <row r="275" spans="1:12" s="76" customFormat="1" x14ac:dyDescent="0.2">
      <c r="A275" s="213"/>
      <c r="B275" s="177"/>
      <c r="C275" s="53"/>
      <c r="D275" s="361" t="s">
        <v>257</v>
      </c>
      <c r="E275" s="328"/>
      <c r="F275" s="328"/>
      <c r="G275" s="331"/>
      <c r="H275" s="188">
        <f>H273*7%</f>
        <v>10877.880475</v>
      </c>
      <c r="I275" s="190">
        <v>0</v>
      </c>
      <c r="J275" s="79">
        <f>+(H273+H274+H275)*C266</f>
        <v>179220.85074025</v>
      </c>
      <c r="K275" s="43"/>
      <c r="L275" s="43"/>
    </row>
    <row r="276" spans="1:12" s="76" customFormat="1" x14ac:dyDescent="0.2">
      <c r="A276" s="213"/>
      <c r="B276" s="160"/>
      <c r="C276" s="53"/>
      <c r="D276" s="80"/>
      <c r="E276" s="344"/>
      <c r="F276" s="333"/>
      <c r="G276" s="334"/>
      <c r="H276" s="335"/>
      <c r="I276" s="192"/>
      <c r="J276" s="68"/>
      <c r="K276" s="43"/>
      <c r="L276" s="43"/>
    </row>
    <row r="277" spans="1:12" s="76" customFormat="1" ht="15" customHeight="1" x14ac:dyDescent="0.2">
      <c r="A277" s="213"/>
      <c r="B277" s="159"/>
      <c r="C277" s="13">
        <v>1</v>
      </c>
      <c r="D277" s="374" t="s">
        <v>314</v>
      </c>
      <c r="E277" s="336">
        <v>31896.03</v>
      </c>
      <c r="F277" s="333"/>
      <c r="G277" s="349"/>
      <c r="H277" s="338"/>
      <c r="I277" s="193"/>
      <c r="J277" s="117"/>
      <c r="K277" s="43"/>
      <c r="L277" s="43"/>
    </row>
    <row r="278" spans="1:12" s="76" customFormat="1" x14ac:dyDescent="0.2">
      <c r="A278" s="213"/>
      <c r="B278" s="160"/>
      <c r="C278" s="53"/>
      <c r="D278" s="64" t="s">
        <v>84</v>
      </c>
      <c r="E278" s="339" t="s">
        <v>138</v>
      </c>
      <c r="F278" s="328">
        <v>31896.03</v>
      </c>
      <c r="G278" s="340">
        <v>0.2</v>
      </c>
      <c r="H278" s="188">
        <f>+G278*F278</f>
        <v>6379.2060000000001</v>
      </c>
      <c r="I278" s="192"/>
      <c r="J278" s="68"/>
      <c r="K278" s="43"/>
      <c r="L278" s="43"/>
    </row>
    <row r="279" spans="1:12" s="76" customFormat="1" x14ac:dyDescent="0.2">
      <c r="A279" s="213"/>
      <c r="B279" s="160"/>
      <c r="C279" s="53"/>
      <c r="D279" s="64" t="s">
        <v>78</v>
      </c>
      <c r="E279" s="339" t="s">
        <v>138</v>
      </c>
      <c r="F279" s="328">
        <v>31896.03</v>
      </c>
      <c r="G279" s="340">
        <v>2.5</v>
      </c>
      <c r="H279" s="188">
        <f>+G279*F279</f>
        <v>79740.074999999997</v>
      </c>
      <c r="I279" s="192"/>
      <c r="J279" s="68"/>
      <c r="K279" s="43"/>
      <c r="L279" s="43"/>
    </row>
    <row r="280" spans="1:12" s="76" customFormat="1" x14ac:dyDescent="0.2">
      <c r="A280" s="213"/>
      <c r="B280" s="160"/>
      <c r="C280" s="53"/>
      <c r="D280" s="64" t="s">
        <v>140</v>
      </c>
      <c r="E280" s="342">
        <f>22*3</f>
        <v>66</v>
      </c>
      <c r="F280" s="328">
        <v>289.95999999999998</v>
      </c>
      <c r="G280" s="340">
        <f>+F284</f>
        <v>2.7</v>
      </c>
      <c r="H280" s="188">
        <f>+G280*F280*E280</f>
        <v>51670.872000000003</v>
      </c>
      <c r="I280" s="192"/>
      <c r="J280" s="68"/>
      <c r="K280" s="43"/>
      <c r="L280" s="43"/>
    </row>
    <row r="281" spans="1:12" s="76" customFormat="1" x14ac:dyDescent="0.2">
      <c r="A281" s="213"/>
      <c r="B281" s="160"/>
      <c r="C281" s="53"/>
      <c r="D281" s="64" t="s">
        <v>14</v>
      </c>
      <c r="E281" s="326" t="s">
        <v>113</v>
      </c>
      <c r="F281" s="328">
        <v>0</v>
      </c>
      <c r="G281" s="188">
        <f>$H$3</f>
        <v>50</v>
      </c>
      <c r="H281" s="188">
        <f>+G281*F281</f>
        <v>0</v>
      </c>
      <c r="I281" s="192"/>
      <c r="J281" s="68"/>
      <c r="K281" s="43"/>
      <c r="L281" s="43"/>
    </row>
    <row r="282" spans="1:12" s="76" customFormat="1" x14ac:dyDescent="0.2">
      <c r="A282" s="213"/>
      <c r="B282" s="160"/>
      <c r="C282" s="53"/>
      <c r="D282" s="64" t="s">
        <v>16</v>
      </c>
      <c r="E282" s="326" t="s">
        <v>113</v>
      </c>
      <c r="F282" s="328">
        <v>0</v>
      </c>
      <c r="G282" s="188">
        <f>$H$4</f>
        <v>40</v>
      </c>
      <c r="H282" s="188">
        <f>+G282*F282</f>
        <v>0</v>
      </c>
      <c r="I282" s="192"/>
      <c r="J282" s="68"/>
      <c r="K282" s="43"/>
      <c r="L282" s="43"/>
    </row>
    <row r="283" spans="1:12" s="76" customFormat="1" x14ac:dyDescent="0.2">
      <c r="A283" s="213"/>
      <c r="B283" s="160"/>
      <c r="C283" s="53"/>
      <c r="D283" s="64" t="s">
        <v>13</v>
      </c>
      <c r="E283" s="339" t="s">
        <v>59</v>
      </c>
      <c r="F283" s="328">
        <f>E277</f>
        <v>31896.03</v>
      </c>
      <c r="G283" s="188">
        <v>0</v>
      </c>
      <c r="H283" s="188">
        <f>+G283*F283</f>
        <v>0</v>
      </c>
      <c r="I283" s="192"/>
      <c r="J283" s="68"/>
      <c r="K283" s="43"/>
      <c r="L283" s="43"/>
    </row>
    <row r="284" spans="1:12" s="76" customFormat="1" x14ac:dyDescent="0.2">
      <c r="A284" s="213"/>
      <c r="B284" s="180"/>
      <c r="C284" s="53"/>
      <c r="D284" s="64" t="s">
        <v>139</v>
      </c>
      <c r="E284" s="326" t="s">
        <v>111</v>
      </c>
      <c r="F284" s="333">
        <f>+G278+G279+G283</f>
        <v>2.7</v>
      </c>
      <c r="G284" s="187" t="s">
        <v>130</v>
      </c>
      <c r="H284" s="188">
        <f>SUM(H278:H283)</f>
        <v>137790.15299999999</v>
      </c>
      <c r="I284" s="185"/>
      <c r="J284" s="68"/>
      <c r="K284" s="43"/>
      <c r="L284" s="43"/>
    </row>
    <row r="285" spans="1:12" s="76" customFormat="1" x14ac:dyDescent="0.2">
      <c r="A285" s="213"/>
      <c r="B285" s="177"/>
      <c r="C285" s="53"/>
      <c r="D285" s="93" t="s">
        <v>129</v>
      </c>
      <c r="E285" s="326" t="s">
        <v>111</v>
      </c>
      <c r="F285" s="328"/>
      <c r="G285" s="343"/>
      <c r="H285" s="188">
        <f>H284*8.33%</f>
        <v>11477.919744899998</v>
      </c>
      <c r="I285" s="189"/>
      <c r="J285" s="179"/>
      <c r="K285" s="43"/>
      <c r="L285" s="43"/>
    </row>
    <row r="286" spans="1:12" s="76" customFormat="1" x14ac:dyDescent="0.2">
      <c r="A286" s="213"/>
      <c r="B286" s="177"/>
      <c r="C286" s="53"/>
      <c r="D286" s="361" t="s">
        <v>257</v>
      </c>
      <c r="E286" s="328"/>
      <c r="F286" s="328"/>
      <c r="G286" s="331"/>
      <c r="H286" s="188">
        <f>H284*7%</f>
        <v>9645.3107099999997</v>
      </c>
      <c r="I286" s="190">
        <v>0</v>
      </c>
      <c r="J286" s="79">
        <f>+(H284+H285+H286)*C277</f>
        <v>158913.38345489997</v>
      </c>
      <c r="K286" s="43"/>
      <c r="L286" s="43"/>
    </row>
    <row r="287" spans="1:12" s="76" customFormat="1" x14ac:dyDescent="0.2">
      <c r="A287" s="213"/>
      <c r="B287" s="160"/>
      <c r="C287" s="53"/>
      <c r="D287" s="80"/>
      <c r="E287" s="344"/>
      <c r="F287" s="333"/>
      <c r="G287" s="334"/>
      <c r="H287" s="335"/>
      <c r="I287" s="192"/>
      <c r="J287" s="68"/>
      <c r="K287" s="43"/>
      <c r="L287" s="43"/>
    </row>
    <row r="288" spans="1:12" s="76" customFormat="1" ht="15" customHeight="1" x14ac:dyDescent="0.2">
      <c r="A288" s="213"/>
      <c r="B288" s="159"/>
      <c r="C288" s="13">
        <v>1</v>
      </c>
      <c r="D288" s="198" t="s">
        <v>151</v>
      </c>
      <c r="E288" s="336">
        <v>37371.11</v>
      </c>
      <c r="F288" s="333"/>
      <c r="G288" s="349"/>
      <c r="H288" s="338"/>
      <c r="I288" s="193"/>
      <c r="J288" s="117"/>
      <c r="K288" s="43"/>
      <c r="L288" s="43"/>
    </row>
    <row r="289" spans="1:12" s="76" customFormat="1" x14ac:dyDescent="0.2">
      <c r="A289" s="213"/>
      <c r="B289" s="160"/>
      <c r="C289" s="53"/>
      <c r="D289" s="64" t="s">
        <v>84</v>
      </c>
      <c r="E289" s="351" t="s">
        <v>145</v>
      </c>
      <c r="F289" s="328">
        <v>37371.11</v>
      </c>
      <c r="G289" s="340">
        <v>0.5</v>
      </c>
      <c r="H289" s="188">
        <f>+G289*F289</f>
        <v>18685.555</v>
      </c>
      <c r="I289" s="192"/>
      <c r="J289" s="68"/>
      <c r="K289" s="43"/>
      <c r="L289" s="43"/>
    </row>
    <row r="290" spans="1:12" s="76" customFormat="1" x14ac:dyDescent="0.2">
      <c r="A290" s="213"/>
      <c r="B290" s="160"/>
      <c r="C290" s="53"/>
      <c r="D290" s="64" t="s">
        <v>78</v>
      </c>
      <c r="E290" s="352" t="s">
        <v>145</v>
      </c>
      <c r="F290" s="328">
        <v>37371.11</v>
      </c>
      <c r="G290" s="340">
        <v>2.5</v>
      </c>
      <c r="H290" s="188">
        <f>+G290*F290</f>
        <v>93427.774999999994</v>
      </c>
      <c r="I290" s="192"/>
      <c r="J290" s="68"/>
      <c r="K290" s="43"/>
      <c r="L290" s="43"/>
    </row>
    <row r="291" spans="1:12" s="76" customFormat="1" x14ac:dyDescent="0.2">
      <c r="A291" s="213"/>
      <c r="B291" s="160"/>
      <c r="C291" s="53"/>
      <c r="D291" s="64" t="s">
        <v>140</v>
      </c>
      <c r="E291" s="342">
        <f>22*3</f>
        <v>66</v>
      </c>
      <c r="F291" s="328">
        <v>339.73</v>
      </c>
      <c r="G291" s="340">
        <f>+F295</f>
        <v>3</v>
      </c>
      <c r="H291" s="188">
        <f>+G291*F291*E291</f>
        <v>67266.540000000008</v>
      </c>
      <c r="I291" s="192"/>
      <c r="J291" s="68"/>
      <c r="K291" s="43"/>
      <c r="L291" s="43"/>
    </row>
    <row r="292" spans="1:12" s="76" customFormat="1" x14ac:dyDescent="0.2">
      <c r="A292" s="213"/>
      <c r="B292" s="160"/>
      <c r="C292" s="53"/>
      <c r="D292" s="64" t="s">
        <v>14</v>
      </c>
      <c r="E292" s="353" t="s">
        <v>113</v>
      </c>
      <c r="F292" s="328">
        <v>0</v>
      </c>
      <c r="G292" s="188">
        <f>$H$3</f>
        <v>50</v>
      </c>
      <c r="H292" s="188">
        <f>+G292*F292</f>
        <v>0</v>
      </c>
      <c r="I292" s="192"/>
      <c r="J292" s="68"/>
      <c r="K292" s="43"/>
      <c r="L292" s="43"/>
    </row>
    <row r="293" spans="1:12" s="76" customFormat="1" x14ac:dyDescent="0.2">
      <c r="A293" s="213"/>
      <c r="B293" s="160"/>
      <c r="C293" s="53"/>
      <c r="D293" s="64" t="s">
        <v>16</v>
      </c>
      <c r="E293" s="353" t="s">
        <v>113</v>
      </c>
      <c r="F293" s="328">
        <v>0</v>
      </c>
      <c r="G293" s="188">
        <f>$H$4</f>
        <v>40</v>
      </c>
      <c r="H293" s="188">
        <f>+G293*F293</f>
        <v>0</v>
      </c>
      <c r="I293" s="192"/>
      <c r="J293" s="68"/>
      <c r="K293" s="43"/>
      <c r="L293" s="43"/>
    </row>
    <row r="294" spans="1:12" s="76" customFormat="1" x14ac:dyDescent="0.2">
      <c r="A294" s="213"/>
      <c r="B294" s="160"/>
      <c r="C294" s="53"/>
      <c r="D294" s="64" t="s">
        <v>13</v>
      </c>
      <c r="E294" s="352" t="s">
        <v>146</v>
      </c>
      <c r="F294" s="328">
        <f>E288</f>
        <v>37371.11</v>
      </c>
      <c r="G294" s="188">
        <v>0</v>
      </c>
      <c r="H294" s="188">
        <f>+G294*F294</f>
        <v>0</v>
      </c>
      <c r="I294" s="192"/>
      <c r="J294" s="68"/>
      <c r="K294" s="43"/>
      <c r="L294" s="43"/>
    </row>
    <row r="295" spans="1:12" s="76" customFormat="1" x14ac:dyDescent="0.2">
      <c r="A295" s="213"/>
      <c r="B295" s="180"/>
      <c r="C295" s="53"/>
      <c r="D295" s="64" t="s">
        <v>139</v>
      </c>
      <c r="E295" s="353" t="s">
        <v>111</v>
      </c>
      <c r="F295" s="333">
        <f>+G289+G290+G294</f>
        <v>3</v>
      </c>
      <c r="G295" s="187" t="s">
        <v>130</v>
      </c>
      <c r="H295" s="188">
        <f>SUM(H289:H294)</f>
        <v>179379.87</v>
      </c>
      <c r="I295" s="185"/>
      <c r="J295" s="68"/>
      <c r="K295" s="43"/>
      <c r="L295" s="43"/>
    </row>
    <row r="296" spans="1:12" s="76" customFormat="1" x14ac:dyDescent="0.2">
      <c r="A296" s="213"/>
      <c r="B296" s="177"/>
      <c r="C296" s="53"/>
      <c r="D296" s="93" t="s">
        <v>129</v>
      </c>
      <c r="E296" s="326" t="s">
        <v>111</v>
      </c>
      <c r="F296" s="328"/>
      <c r="G296" s="343"/>
      <c r="H296" s="188">
        <f>H295*8.33%</f>
        <v>14942.343170999999</v>
      </c>
      <c r="I296" s="189"/>
      <c r="J296" s="179"/>
      <c r="K296" s="43"/>
      <c r="L296" s="43"/>
    </row>
    <row r="297" spans="1:12" s="76" customFormat="1" x14ac:dyDescent="0.2">
      <c r="A297" s="213"/>
      <c r="B297" s="177"/>
      <c r="C297" s="53"/>
      <c r="D297" s="361" t="s">
        <v>257</v>
      </c>
      <c r="E297" s="328"/>
      <c r="F297" s="328"/>
      <c r="G297" s="331"/>
      <c r="H297" s="188">
        <f>H295*7%</f>
        <v>12556.590900000001</v>
      </c>
      <c r="I297" s="190">
        <v>0</v>
      </c>
      <c r="J297" s="79">
        <f>+(H295+H296+H297)*C288</f>
        <v>206878.80407099999</v>
      </c>
      <c r="K297" s="43"/>
      <c r="L297" s="43"/>
    </row>
    <row r="298" spans="1:12" s="76" customFormat="1" x14ac:dyDescent="0.2">
      <c r="A298" s="213"/>
      <c r="B298" s="160"/>
      <c r="C298" s="53"/>
      <c r="D298" s="80"/>
      <c r="E298" s="332"/>
      <c r="F298" s="333"/>
      <c r="G298" s="334"/>
      <c r="H298" s="335"/>
      <c r="I298" s="192"/>
      <c r="J298" s="68"/>
      <c r="K298" s="43"/>
      <c r="L298" s="43"/>
    </row>
    <row r="299" spans="1:12" s="76" customFormat="1" ht="15" customHeight="1" x14ac:dyDescent="0.2">
      <c r="A299" s="213"/>
      <c r="B299" s="159"/>
      <c r="C299" s="13">
        <v>2</v>
      </c>
      <c r="D299" s="198" t="s">
        <v>152</v>
      </c>
      <c r="E299" s="336">
        <v>31896.03</v>
      </c>
      <c r="F299" s="328"/>
      <c r="G299" s="349"/>
      <c r="H299" s="338"/>
      <c r="I299" s="193"/>
      <c r="J299" s="117"/>
      <c r="K299" s="43"/>
      <c r="L299" s="43"/>
    </row>
    <row r="300" spans="1:12" s="76" customFormat="1" x14ac:dyDescent="0.2">
      <c r="A300" s="213"/>
      <c r="B300" s="160"/>
      <c r="C300" s="53"/>
      <c r="D300" s="64" t="s">
        <v>84</v>
      </c>
      <c r="E300" s="351" t="s">
        <v>145</v>
      </c>
      <c r="F300" s="328">
        <v>31896.03</v>
      </c>
      <c r="G300" s="340">
        <v>0.25</v>
      </c>
      <c r="H300" s="188">
        <f>+G300*F300</f>
        <v>7974.0074999999997</v>
      </c>
      <c r="I300" s="192"/>
      <c r="J300" s="68"/>
      <c r="K300" s="43"/>
      <c r="L300" s="43"/>
    </row>
    <row r="301" spans="1:12" s="76" customFormat="1" x14ac:dyDescent="0.2">
      <c r="A301" s="213"/>
      <c r="B301" s="160"/>
      <c r="C301" s="53"/>
      <c r="D301" s="64" t="s">
        <v>78</v>
      </c>
      <c r="E301" s="352" t="s">
        <v>145</v>
      </c>
      <c r="F301" s="328">
        <v>31896.03</v>
      </c>
      <c r="G301" s="340">
        <v>2.5</v>
      </c>
      <c r="H301" s="188">
        <f>+G301*F301</f>
        <v>79740.074999999997</v>
      </c>
      <c r="I301" s="192"/>
      <c r="J301" s="68"/>
      <c r="K301" s="43"/>
      <c r="L301" s="43"/>
    </row>
    <row r="302" spans="1:12" s="76" customFormat="1" x14ac:dyDescent="0.2">
      <c r="A302" s="213"/>
      <c r="B302" s="160"/>
      <c r="C302" s="53"/>
      <c r="D302" s="64" t="s">
        <v>140</v>
      </c>
      <c r="E302" s="342">
        <f>22*3</f>
        <v>66</v>
      </c>
      <c r="F302" s="184">
        <v>289.95999999999998</v>
      </c>
      <c r="G302" s="52">
        <f>+F306</f>
        <v>2.75</v>
      </c>
      <c r="H302" s="24">
        <f>+G302*F302*E302</f>
        <v>52627.74</v>
      </c>
      <c r="I302" s="192"/>
      <c r="J302" s="68"/>
      <c r="K302" s="43"/>
      <c r="L302" s="43"/>
    </row>
    <row r="303" spans="1:12" s="76" customFormat="1" x14ac:dyDescent="0.2">
      <c r="A303" s="213"/>
      <c r="B303" s="160"/>
      <c r="C303" s="53"/>
      <c r="D303" s="64" t="s">
        <v>14</v>
      </c>
      <c r="E303" s="252" t="s">
        <v>113</v>
      </c>
      <c r="F303" s="184">
        <f>F299/5*1.5</f>
        <v>0</v>
      </c>
      <c r="G303" s="24">
        <f>$H$3</f>
        <v>50</v>
      </c>
      <c r="H303" s="24">
        <f>+G303*F303</f>
        <v>0</v>
      </c>
      <c r="I303" s="192"/>
      <c r="J303" s="68"/>
      <c r="K303" s="43"/>
      <c r="L303" s="43"/>
    </row>
    <row r="304" spans="1:12" s="76" customFormat="1" x14ac:dyDescent="0.2">
      <c r="A304" s="213"/>
      <c r="B304" s="160"/>
      <c r="C304" s="53"/>
      <c r="D304" s="64" t="s">
        <v>16</v>
      </c>
      <c r="E304" s="252" t="s">
        <v>113</v>
      </c>
      <c r="F304" s="328">
        <f>F299/5*2</f>
        <v>0</v>
      </c>
      <c r="G304" s="188">
        <f>$H$4</f>
        <v>40</v>
      </c>
      <c r="H304" s="188">
        <f>+G304*F304</f>
        <v>0</v>
      </c>
      <c r="I304" s="192"/>
      <c r="J304" s="68"/>
      <c r="K304" s="43"/>
      <c r="L304" s="43"/>
    </row>
    <row r="305" spans="1:12" s="76" customFormat="1" x14ac:dyDescent="0.2">
      <c r="A305" s="213"/>
      <c r="B305" s="160"/>
      <c r="C305" s="53"/>
      <c r="D305" s="64" t="s">
        <v>13</v>
      </c>
      <c r="E305" s="250" t="s">
        <v>146</v>
      </c>
      <c r="F305" s="328">
        <f>F299</f>
        <v>0</v>
      </c>
      <c r="G305" s="188">
        <v>0</v>
      </c>
      <c r="H305" s="188">
        <f>+G305*F305</f>
        <v>0</v>
      </c>
      <c r="I305" s="192"/>
      <c r="J305" s="68"/>
      <c r="K305" s="43"/>
      <c r="L305" s="43"/>
    </row>
    <row r="306" spans="1:12" s="76" customFormat="1" x14ac:dyDescent="0.2">
      <c r="A306" s="213"/>
      <c r="B306" s="180"/>
      <c r="C306" s="53"/>
      <c r="D306" s="64" t="s">
        <v>139</v>
      </c>
      <c r="E306" s="252" t="s">
        <v>111</v>
      </c>
      <c r="F306" s="333">
        <f>+G300+G301+G305</f>
        <v>2.75</v>
      </c>
      <c r="G306" s="187" t="s">
        <v>130</v>
      </c>
      <c r="H306" s="188">
        <f>SUM(H300:H305)</f>
        <v>140341.82249999998</v>
      </c>
      <c r="I306" s="185"/>
      <c r="J306" s="68"/>
      <c r="K306" s="43"/>
      <c r="L306" s="43"/>
    </row>
    <row r="307" spans="1:12" s="76" customFormat="1" x14ac:dyDescent="0.2">
      <c r="A307" s="213"/>
      <c r="B307" s="177"/>
      <c r="C307" s="53"/>
      <c r="D307" s="93" t="s">
        <v>129</v>
      </c>
      <c r="E307" s="326" t="s">
        <v>111</v>
      </c>
      <c r="F307" s="328"/>
      <c r="G307" s="343"/>
      <c r="H307" s="188">
        <f>H306*8.33%</f>
        <v>11690.473814249999</v>
      </c>
      <c r="I307" s="189"/>
      <c r="J307" s="179"/>
      <c r="K307" s="43"/>
      <c r="L307" s="43"/>
    </row>
    <row r="308" spans="1:12" s="76" customFormat="1" x14ac:dyDescent="0.2">
      <c r="A308" s="213"/>
      <c r="B308" s="177"/>
      <c r="C308" s="53"/>
      <c r="D308" s="361" t="s">
        <v>257</v>
      </c>
      <c r="E308" s="328"/>
      <c r="F308" s="328"/>
      <c r="G308" s="331"/>
      <c r="H308" s="188">
        <f>H306*7%</f>
        <v>9823.9275749999997</v>
      </c>
      <c r="I308" s="190">
        <v>0</v>
      </c>
      <c r="J308" s="79">
        <f>+(H306+H307+H308)*C299</f>
        <v>323712.44777849998</v>
      </c>
      <c r="K308" s="43"/>
      <c r="L308" s="43"/>
    </row>
    <row r="309" spans="1:12" s="76" customFormat="1" x14ac:dyDescent="0.2">
      <c r="A309" s="213"/>
      <c r="B309" s="160"/>
      <c r="C309" s="53"/>
      <c r="D309" s="80"/>
      <c r="E309" s="7"/>
      <c r="F309" s="333"/>
      <c r="G309" s="334"/>
      <c r="H309" s="335"/>
      <c r="I309" s="192"/>
      <c r="J309" s="68"/>
      <c r="K309" s="43"/>
      <c r="L309" s="43"/>
    </row>
    <row r="310" spans="1:12" s="76" customFormat="1" ht="15" customHeight="1" x14ac:dyDescent="0.2">
      <c r="A310" s="213"/>
      <c r="B310" s="159"/>
      <c r="C310" s="13">
        <v>1</v>
      </c>
      <c r="D310" s="198" t="s">
        <v>153</v>
      </c>
      <c r="E310" s="17">
        <v>31896.03</v>
      </c>
      <c r="F310" s="333"/>
      <c r="G310" s="349"/>
      <c r="H310" s="338"/>
      <c r="I310" s="193"/>
      <c r="J310" s="117"/>
      <c r="K310" s="43"/>
      <c r="L310" s="43"/>
    </row>
    <row r="311" spans="1:12" s="76" customFormat="1" x14ac:dyDescent="0.2">
      <c r="A311" s="213"/>
      <c r="B311" s="160"/>
      <c r="C311" s="53"/>
      <c r="D311" s="64" t="s">
        <v>84</v>
      </c>
      <c r="E311" s="249" t="s">
        <v>145</v>
      </c>
      <c r="F311" s="328">
        <v>31896.03</v>
      </c>
      <c r="G311" s="340">
        <v>0.2</v>
      </c>
      <c r="H311" s="188">
        <f t="shared" ref="H311:H316" si="7">+G311*F311</f>
        <v>6379.2060000000001</v>
      </c>
      <c r="I311" s="192"/>
      <c r="J311" s="68"/>
      <c r="K311" s="43"/>
      <c r="L311" s="43"/>
    </row>
    <row r="312" spans="1:12" s="76" customFormat="1" x14ac:dyDescent="0.2">
      <c r="A312" s="213"/>
      <c r="B312" s="160"/>
      <c r="C312" s="53"/>
      <c r="D312" s="64" t="s">
        <v>78</v>
      </c>
      <c r="E312" s="250" t="s">
        <v>145</v>
      </c>
      <c r="F312" s="328">
        <v>31896.03</v>
      </c>
      <c r="G312" s="340">
        <v>2.5</v>
      </c>
      <c r="H312" s="188">
        <f t="shared" si="7"/>
        <v>79740.074999999997</v>
      </c>
      <c r="I312" s="192"/>
      <c r="J312" s="68"/>
      <c r="K312" s="43"/>
      <c r="L312" s="43"/>
    </row>
    <row r="313" spans="1:12" s="76" customFormat="1" x14ac:dyDescent="0.2">
      <c r="A313" s="213"/>
      <c r="B313" s="160"/>
      <c r="C313" s="53"/>
      <c r="D313" s="64" t="s">
        <v>140</v>
      </c>
      <c r="E313" s="342">
        <f>22*3</f>
        <v>66</v>
      </c>
      <c r="F313" s="328">
        <v>289.95999999999998</v>
      </c>
      <c r="G313" s="340">
        <f>+F317</f>
        <v>2.7</v>
      </c>
      <c r="H313" s="188">
        <f>+G313*F313*E313</f>
        <v>51670.872000000003</v>
      </c>
      <c r="I313" s="192"/>
      <c r="J313" s="68"/>
      <c r="K313" s="43"/>
      <c r="L313" s="43"/>
    </row>
    <row r="314" spans="1:12" s="76" customFormat="1" x14ac:dyDescent="0.2">
      <c r="A314" s="213"/>
      <c r="B314" s="160"/>
      <c r="C314" s="53"/>
      <c r="D314" s="64" t="s">
        <v>14</v>
      </c>
      <c r="E314" s="252" t="s">
        <v>113</v>
      </c>
      <c r="F314" s="328">
        <v>0</v>
      </c>
      <c r="G314" s="188">
        <f>$H$3</f>
        <v>50</v>
      </c>
      <c r="H314" s="188">
        <f t="shared" si="7"/>
        <v>0</v>
      </c>
      <c r="I314" s="192"/>
      <c r="J314" s="68"/>
      <c r="K314" s="266"/>
      <c r="L314" s="266"/>
    </row>
    <row r="315" spans="1:12" s="76" customFormat="1" x14ac:dyDescent="0.2">
      <c r="A315" s="213"/>
      <c r="B315" s="160"/>
      <c r="C315" s="53"/>
      <c r="D315" s="64" t="s">
        <v>16</v>
      </c>
      <c r="E315" s="252" t="s">
        <v>113</v>
      </c>
      <c r="F315" s="328">
        <v>0</v>
      </c>
      <c r="G315" s="188">
        <f>$H$4</f>
        <v>40</v>
      </c>
      <c r="H315" s="188">
        <f t="shared" si="7"/>
        <v>0</v>
      </c>
      <c r="I315" s="192"/>
      <c r="J315" s="68"/>
      <c r="K315" s="266"/>
      <c r="L315" s="266"/>
    </row>
    <row r="316" spans="1:12" s="76" customFormat="1" x14ac:dyDescent="0.2">
      <c r="A316" s="213"/>
      <c r="B316" s="160"/>
      <c r="C316" s="53"/>
      <c r="D316" s="64" t="s">
        <v>13</v>
      </c>
      <c r="E316" s="250" t="s">
        <v>146</v>
      </c>
      <c r="F316" s="328">
        <f>E310</f>
        <v>31896.03</v>
      </c>
      <c r="G316" s="188">
        <v>0</v>
      </c>
      <c r="H316" s="188">
        <f t="shared" si="7"/>
        <v>0</v>
      </c>
      <c r="I316" s="192"/>
      <c r="J316" s="68"/>
      <c r="K316" s="266"/>
      <c r="L316" s="266"/>
    </row>
    <row r="317" spans="1:12" s="76" customFormat="1" x14ac:dyDescent="0.2">
      <c r="A317" s="213"/>
      <c r="B317" s="180"/>
      <c r="C317" s="53"/>
      <c r="D317" s="64" t="s">
        <v>139</v>
      </c>
      <c r="E317" s="252" t="s">
        <v>111</v>
      </c>
      <c r="F317" s="333">
        <f>+G311+G312+G316</f>
        <v>2.7</v>
      </c>
      <c r="G317" s="187" t="s">
        <v>130</v>
      </c>
      <c r="H317" s="188">
        <f>SUM(H311:H316)</f>
        <v>137790.15299999999</v>
      </c>
      <c r="I317" s="185"/>
      <c r="J317" s="68"/>
      <c r="K317" s="266"/>
      <c r="L317" s="266"/>
    </row>
    <row r="318" spans="1:12" s="76" customFormat="1" x14ac:dyDescent="0.2">
      <c r="A318" s="213"/>
      <c r="B318" s="177"/>
      <c r="C318" s="53"/>
      <c r="D318" s="93" t="s">
        <v>129</v>
      </c>
      <c r="E318" s="326" t="s">
        <v>111</v>
      </c>
      <c r="F318" s="328"/>
      <c r="G318" s="343"/>
      <c r="H318" s="188">
        <f>H317*8.33%</f>
        <v>11477.919744899998</v>
      </c>
      <c r="I318" s="189"/>
      <c r="J318" s="179"/>
      <c r="K318" s="266"/>
      <c r="L318" s="266"/>
    </row>
    <row r="319" spans="1:12" s="76" customFormat="1" x14ac:dyDescent="0.2">
      <c r="A319" s="213"/>
      <c r="B319" s="177"/>
      <c r="C319" s="53"/>
      <c r="D319" s="361" t="s">
        <v>257</v>
      </c>
      <c r="E319" s="328"/>
      <c r="F319" s="328"/>
      <c r="G319" s="331"/>
      <c r="H319" s="188">
        <f>H317*7%</f>
        <v>9645.3107099999997</v>
      </c>
      <c r="I319" s="190">
        <v>0</v>
      </c>
      <c r="J319" s="79">
        <f>+(H317+H318+H319)*C310</f>
        <v>158913.38345489997</v>
      </c>
      <c r="K319" s="266"/>
      <c r="L319" s="266"/>
    </row>
    <row r="320" spans="1:12" s="76" customFormat="1" x14ac:dyDescent="0.2">
      <c r="A320" s="213"/>
      <c r="B320" s="160"/>
      <c r="C320" s="53"/>
      <c r="D320" s="80"/>
      <c r="E320" s="7"/>
      <c r="F320" s="333"/>
      <c r="G320" s="334"/>
      <c r="H320" s="335"/>
      <c r="I320" s="192"/>
      <c r="J320" s="68"/>
      <c r="K320" s="266"/>
      <c r="L320" s="266"/>
    </row>
    <row r="321" spans="1:12" s="76" customFormat="1" ht="15" customHeight="1" x14ac:dyDescent="0.2">
      <c r="A321" s="213"/>
      <c r="B321" s="159"/>
      <c r="C321" s="13">
        <v>1</v>
      </c>
      <c r="D321" s="198" t="s">
        <v>354</v>
      </c>
      <c r="E321" s="17">
        <v>58032.74</v>
      </c>
      <c r="F321" s="333"/>
      <c r="G321" s="349"/>
      <c r="H321" s="338"/>
      <c r="I321" s="193"/>
      <c r="J321" s="117"/>
      <c r="K321" s="266"/>
      <c r="L321" s="266"/>
    </row>
    <row r="322" spans="1:12" s="76" customFormat="1" x14ac:dyDescent="0.2">
      <c r="A322" s="213"/>
      <c r="B322" s="160"/>
      <c r="C322" s="53"/>
      <c r="D322" s="64" t="s">
        <v>84</v>
      </c>
      <c r="E322" s="249" t="s">
        <v>145</v>
      </c>
      <c r="F322" s="328">
        <v>58032.74</v>
      </c>
      <c r="G322" s="340">
        <v>2</v>
      </c>
      <c r="H322" s="188">
        <f t="shared" ref="H322:H327" si="8">+G322*F322</f>
        <v>116065.48</v>
      </c>
      <c r="I322" s="192"/>
      <c r="J322" s="68"/>
      <c r="K322" s="266"/>
      <c r="L322" s="266"/>
    </row>
    <row r="323" spans="1:12" s="76" customFormat="1" x14ac:dyDescent="0.2">
      <c r="A323" s="213"/>
      <c r="B323" s="160"/>
      <c r="C323" s="53"/>
      <c r="D323" s="64" t="s">
        <v>78</v>
      </c>
      <c r="E323" s="250" t="s">
        <v>145</v>
      </c>
      <c r="F323" s="328">
        <v>58032.74</v>
      </c>
      <c r="G323" s="340">
        <v>2.5</v>
      </c>
      <c r="H323" s="188">
        <f t="shared" si="8"/>
        <v>145081.85</v>
      </c>
      <c r="I323" s="192"/>
      <c r="J323" s="68"/>
      <c r="K323" s="266"/>
      <c r="L323" s="266"/>
    </row>
    <row r="324" spans="1:12" s="76" customFormat="1" x14ac:dyDescent="0.2">
      <c r="A324" s="213"/>
      <c r="B324" s="160"/>
      <c r="C324" s="53"/>
      <c r="D324" s="64" t="s">
        <v>140</v>
      </c>
      <c r="E324" s="342">
        <f>22*3</f>
        <v>66</v>
      </c>
      <c r="F324" s="328">
        <v>457.97</v>
      </c>
      <c r="G324" s="340">
        <f>+F328</f>
        <v>4.5</v>
      </c>
      <c r="H324" s="188">
        <f>+G324*F324*E324</f>
        <v>136017.09000000003</v>
      </c>
      <c r="I324" s="192"/>
      <c r="J324" s="68"/>
      <c r="K324" s="266"/>
      <c r="L324" s="266"/>
    </row>
    <row r="325" spans="1:12" s="76" customFormat="1" x14ac:dyDescent="0.2">
      <c r="A325" s="213"/>
      <c r="B325" s="160"/>
      <c r="C325" s="53"/>
      <c r="D325" s="64" t="s">
        <v>14</v>
      </c>
      <c r="E325" s="252" t="s">
        <v>113</v>
      </c>
      <c r="F325" s="328">
        <v>0</v>
      </c>
      <c r="G325" s="188">
        <f>$H$3</f>
        <v>50</v>
      </c>
      <c r="H325" s="188">
        <f t="shared" si="8"/>
        <v>0</v>
      </c>
      <c r="I325" s="192"/>
      <c r="J325" s="68"/>
      <c r="K325" s="266"/>
      <c r="L325" s="266"/>
    </row>
    <row r="326" spans="1:12" s="76" customFormat="1" x14ac:dyDescent="0.2">
      <c r="A326" s="213"/>
      <c r="B326" s="160"/>
      <c r="C326" s="53"/>
      <c r="D326" s="64" t="s">
        <v>16</v>
      </c>
      <c r="E326" s="252" t="s">
        <v>113</v>
      </c>
      <c r="F326" s="328">
        <v>0</v>
      </c>
      <c r="G326" s="188">
        <f>$H$4</f>
        <v>40</v>
      </c>
      <c r="H326" s="188">
        <f t="shared" si="8"/>
        <v>0</v>
      </c>
      <c r="I326" s="192"/>
      <c r="J326" s="68"/>
      <c r="K326" s="266"/>
      <c r="L326" s="266"/>
    </row>
    <row r="327" spans="1:12" s="76" customFormat="1" x14ac:dyDescent="0.2">
      <c r="A327" s="213"/>
      <c r="B327" s="160"/>
      <c r="C327" s="53"/>
      <c r="D327" s="64" t="s">
        <v>13</v>
      </c>
      <c r="E327" s="250" t="s">
        <v>146</v>
      </c>
      <c r="F327" s="328">
        <f>E321</f>
        <v>58032.74</v>
      </c>
      <c r="G327" s="188">
        <v>0</v>
      </c>
      <c r="H327" s="188">
        <f t="shared" si="8"/>
        <v>0</v>
      </c>
      <c r="I327" s="192"/>
      <c r="J327" s="68"/>
      <c r="K327" s="266"/>
      <c r="L327" s="266"/>
    </row>
    <row r="328" spans="1:12" s="76" customFormat="1" x14ac:dyDescent="0.2">
      <c r="A328" s="213"/>
      <c r="B328" s="180"/>
      <c r="C328" s="53"/>
      <c r="D328" s="64" t="s">
        <v>139</v>
      </c>
      <c r="E328" s="252" t="s">
        <v>111</v>
      </c>
      <c r="F328" s="333">
        <f>+G322+G323+G327</f>
        <v>4.5</v>
      </c>
      <c r="G328" s="187" t="s">
        <v>130</v>
      </c>
      <c r="H328" s="188">
        <f>SUM(H322:H327)</f>
        <v>397164.42000000004</v>
      </c>
      <c r="I328" s="185"/>
      <c r="J328" s="68"/>
      <c r="K328" s="266"/>
      <c r="L328" s="266"/>
    </row>
    <row r="329" spans="1:12" s="76" customFormat="1" x14ac:dyDescent="0.2">
      <c r="A329" s="213"/>
      <c r="B329" s="177"/>
      <c r="C329" s="53"/>
      <c r="D329" s="93" t="s">
        <v>129</v>
      </c>
      <c r="E329" s="326" t="s">
        <v>111</v>
      </c>
      <c r="F329" s="328"/>
      <c r="G329" s="343"/>
      <c r="H329" s="188">
        <f>H328*8.33%</f>
        <v>33083.796186</v>
      </c>
      <c r="I329" s="189"/>
      <c r="J329" s="179"/>
      <c r="K329" s="266"/>
      <c r="L329" s="266"/>
    </row>
    <row r="330" spans="1:12" s="76" customFormat="1" x14ac:dyDescent="0.2">
      <c r="A330" s="213"/>
      <c r="B330" s="177"/>
      <c r="C330" s="53"/>
      <c r="D330" s="361" t="s">
        <v>257</v>
      </c>
      <c r="E330" s="328"/>
      <c r="F330" s="328"/>
      <c r="G330" s="331"/>
      <c r="H330" s="188">
        <f>H328*7%</f>
        <v>27801.509400000006</v>
      </c>
      <c r="I330" s="190">
        <v>0</v>
      </c>
      <c r="J330" s="79">
        <f>+(H328+H329+H330)*C321</f>
        <v>458049.72558600002</v>
      </c>
      <c r="K330" s="266"/>
      <c r="L330" s="266"/>
    </row>
    <row r="331" spans="1:12" s="76" customFormat="1" x14ac:dyDescent="0.2">
      <c r="A331" s="213"/>
      <c r="B331" s="160"/>
      <c r="C331" s="53"/>
      <c r="D331" s="80"/>
      <c r="E331" s="7"/>
      <c r="F331" s="333"/>
      <c r="G331" s="334"/>
      <c r="H331" s="335"/>
      <c r="I331" s="192"/>
      <c r="J331" s="68"/>
      <c r="K331" s="266"/>
      <c r="L331" s="266"/>
    </row>
    <row r="332" spans="1:12" s="76" customFormat="1" ht="15" customHeight="1" x14ac:dyDescent="0.2">
      <c r="A332" s="213"/>
      <c r="B332" s="159"/>
      <c r="C332" s="13">
        <v>1</v>
      </c>
      <c r="D332" s="198" t="s">
        <v>154</v>
      </c>
      <c r="E332" s="17"/>
      <c r="F332" s="333"/>
      <c r="G332" s="349"/>
      <c r="H332" s="338"/>
      <c r="I332" s="193"/>
      <c r="J332" s="117"/>
      <c r="K332" s="266"/>
      <c r="L332" s="266"/>
    </row>
    <row r="333" spans="1:12" s="76" customFormat="1" x14ac:dyDescent="0.2">
      <c r="A333" s="213"/>
      <c r="B333" s="180"/>
      <c r="C333" s="53"/>
      <c r="D333" s="64" t="s">
        <v>84</v>
      </c>
      <c r="E333" s="249" t="s">
        <v>145</v>
      </c>
      <c r="F333" s="328">
        <v>37371.11</v>
      </c>
      <c r="G333" s="340">
        <v>2</v>
      </c>
      <c r="H333" s="188">
        <f>+G333*F333</f>
        <v>74742.22</v>
      </c>
      <c r="I333" s="192"/>
      <c r="J333" s="68"/>
      <c r="K333" s="266"/>
      <c r="L333" s="266"/>
    </row>
    <row r="334" spans="1:12" s="76" customFormat="1" x14ac:dyDescent="0.2">
      <c r="A334" s="213"/>
      <c r="B334" s="180"/>
      <c r="C334" s="53"/>
      <c r="D334" s="64" t="s">
        <v>78</v>
      </c>
      <c r="E334" s="250" t="s">
        <v>145</v>
      </c>
      <c r="F334" s="328">
        <v>37371.11</v>
      </c>
      <c r="G334" s="340">
        <v>2.5</v>
      </c>
      <c r="H334" s="188">
        <f>+G334*F334</f>
        <v>93427.774999999994</v>
      </c>
      <c r="I334" s="192"/>
      <c r="J334" s="68"/>
      <c r="K334" s="266"/>
      <c r="L334" s="266"/>
    </row>
    <row r="335" spans="1:12" s="76" customFormat="1" x14ac:dyDescent="0.2">
      <c r="A335" s="213"/>
      <c r="B335" s="180"/>
      <c r="C335" s="53"/>
      <c r="D335" s="64" t="s">
        <v>140</v>
      </c>
      <c r="E335" s="342">
        <f>22*3</f>
        <v>66</v>
      </c>
      <c r="F335" s="328">
        <v>339.73</v>
      </c>
      <c r="G335" s="340">
        <f>+F339</f>
        <v>4.5</v>
      </c>
      <c r="H335" s="188">
        <f>+G335*F335*E335</f>
        <v>100899.81000000001</v>
      </c>
      <c r="I335" s="192"/>
      <c r="J335" s="68"/>
      <c r="K335" s="266"/>
      <c r="L335" s="266"/>
    </row>
    <row r="336" spans="1:12" s="76" customFormat="1" x14ac:dyDescent="0.2">
      <c r="A336" s="213"/>
      <c r="B336" s="180"/>
      <c r="C336" s="53"/>
      <c r="D336" s="64" t="s">
        <v>14</v>
      </c>
      <c r="E336" s="252" t="s">
        <v>113</v>
      </c>
      <c r="F336" s="328">
        <v>0</v>
      </c>
      <c r="G336" s="188">
        <f>$H$3</f>
        <v>50</v>
      </c>
      <c r="H336" s="188">
        <f>+G336*F336</f>
        <v>0</v>
      </c>
      <c r="I336" s="192"/>
      <c r="J336" s="68"/>
      <c r="K336" s="266"/>
      <c r="L336" s="266"/>
    </row>
    <row r="337" spans="1:12" s="76" customFormat="1" x14ac:dyDescent="0.2">
      <c r="A337" s="213"/>
      <c r="B337" s="180"/>
      <c r="C337" s="53"/>
      <c r="D337" s="64" t="s">
        <v>16</v>
      </c>
      <c r="E337" s="252" t="s">
        <v>113</v>
      </c>
      <c r="F337" s="328">
        <v>0</v>
      </c>
      <c r="G337" s="188">
        <f>$H$4</f>
        <v>40</v>
      </c>
      <c r="H337" s="188">
        <f>+G337*F337</f>
        <v>0</v>
      </c>
      <c r="I337" s="192"/>
      <c r="J337" s="68"/>
      <c r="K337" s="266"/>
      <c r="L337" s="266"/>
    </row>
    <row r="338" spans="1:12" s="76" customFormat="1" x14ac:dyDescent="0.2">
      <c r="A338" s="213"/>
      <c r="B338" s="180"/>
      <c r="C338" s="53"/>
      <c r="D338" s="64" t="s">
        <v>13</v>
      </c>
      <c r="E338" s="250" t="s">
        <v>146</v>
      </c>
      <c r="F338" s="328">
        <v>37371.11</v>
      </c>
      <c r="G338" s="340">
        <v>0.5</v>
      </c>
      <c r="H338" s="188">
        <f>+G338*F338</f>
        <v>18685.555</v>
      </c>
      <c r="I338" s="192"/>
      <c r="J338" s="68"/>
      <c r="K338" s="266"/>
      <c r="L338" s="266"/>
    </row>
    <row r="339" spans="1:12" s="76" customFormat="1" x14ac:dyDescent="0.2">
      <c r="A339" s="213"/>
      <c r="B339" s="180"/>
      <c r="C339" s="53"/>
      <c r="D339" s="64" t="s">
        <v>139</v>
      </c>
      <c r="E339" s="252" t="s">
        <v>111</v>
      </c>
      <c r="F339" s="333">
        <v>4.5</v>
      </c>
      <c r="G339" s="187" t="s">
        <v>130</v>
      </c>
      <c r="H339" s="188">
        <f>SUM(H333:H338)</f>
        <v>287755.36</v>
      </c>
      <c r="I339" s="185"/>
      <c r="J339" s="68"/>
      <c r="K339" s="266"/>
      <c r="L339" s="266"/>
    </row>
    <row r="340" spans="1:12" s="76" customFormat="1" x14ac:dyDescent="0.2">
      <c r="A340" s="213"/>
      <c r="B340" s="180"/>
      <c r="C340" s="53"/>
      <c r="D340" s="93" t="s">
        <v>129</v>
      </c>
      <c r="E340" s="326" t="s">
        <v>111</v>
      </c>
      <c r="F340" s="328"/>
      <c r="G340" s="343"/>
      <c r="H340" s="188">
        <f>H339*8.33%</f>
        <v>23970.021487999998</v>
      </c>
      <c r="I340" s="189"/>
      <c r="J340" s="179"/>
      <c r="K340" s="266"/>
      <c r="L340" s="266"/>
    </row>
    <row r="341" spans="1:12" s="76" customFormat="1" x14ac:dyDescent="0.2">
      <c r="A341" s="213"/>
      <c r="B341" s="180"/>
      <c r="C341" s="53"/>
      <c r="D341" s="361" t="s">
        <v>257</v>
      </c>
      <c r="E341" s="328"/>
      <c r="F341" s="328"/>
      <c r="G341" s="331"/>
      <c r="H341" s="188">
        <f>H339*7%</f>
        <v>20142.875200000002</v>
      </c>
      <c r="I341" s="190">
        <v>0</v>
      </c>
      <c r="J341" s="79">
        <f>+(H339+H340+H341)*C332</f>
        <v>331868.25668799999</v>
      </c>
      <c r="K341" s="266"/>
      <c r="L341" s="266"/>
    </row>
    <row r="342" spans="1:12" s="76" customFormat="1" x14ac:dyDescent="0.2">
      <c r="A342" s="213"/>
      <c r="B342" s="180"/>
      <c r="C342" s="53"/>
      <c r="D342" s="80"/>
      <c r="E342" s="7"/>
      <c r="F342" s="333"/>
      <c r="G342" s="334"/>
      <c r="H342" s="335"/>
      <c r="I342" s="192"/>
      <c r="J342" s="68"/>
      <c r="K342" s="266"/>
      <c r="L342" s="266"/>
    </row>
    <row r="343" spans="1:12" s="76" customFormat="1" ht="15" customHeight="1" x14ac:dyDescent="0.2">
      <c r="A343" s="213"/>
      <c r="B343" s="159"/>
      <c r="C343" s="13">
        <v>1</v>
      </c>
      <c r="D343" s="198" t="s">
        <v>155</v>
      </c>
      <c r="E343" s="17">
        <v>31896.03</v>
      </c>
      <c r="F343" s="181"/>
      <c r="G343" s="29"/>
      <c r="H343" s="182"/>
      <c r="I343" s="193"/>
      <c r="J343" s="117"/>
      <c r="K343" s="266"/>
      <c r="L343" s="266"/>
    </row>
    <row r="344" spans="1:12" s="76" customFormat="1" x14ac:dyDescent="0.2">
      <c r="A344" s="213"/>
      <c r="B344" s="180"/>
      <c r="C344" s="53"/>
      <c r="D344" s="64" t="s">
        <v>84</v>
      </c>
      <c r="E344" s="249" t="s">
        <v>145</v>
      </c>
      <c r="F344" s="184">
        <v>31896.03</v>
      </c>
      <c r="G344" s="52">
        <v>1.5</v>
      </c>
      <c r="H344" s="24">
        <f>+G344*F344</f>
        <v>47844.044999999998</v>
      </c>
      <c r="I344" s="192"/>
      <c r="J344" s="68"/>
      <c r="K344" s="266"/>
      <c r="L344" s="266"/>
    </row>
    <row r="345" spans="1:12" s="76" customFormat="1" x14ac:dyDescent="0.2">
      <c r="A345" s="213"/>
      <c r="B345" s="180"/>
      <c r="C345" s="53"/>
      <c r="D345" s="64" t="s">
        <v>78</v>
      </c>
      <c r="E345" s="250" t="s">
        <v>145</v>
      </c>
      <c r="F345" s="328">
        <v>31896.03</v>
      </c>
      <c r="G345" s="340">
        <v>2.5</v>
      </c>
      <c r="H345" s="188">
        <f>+G345*F345</f>
        <v>79740.074999999997</v>
      </c>
      <c r="I345" s="192"/>
      <c r="J345" s="68"/>
      <c r="K345" s="266"/>
      <c r="L345" s="266"/>
    </row>
    <row r="346" spans="1:12" s="76" customFormat="1" x14ac:dyDescent="0.2">
      <c r="A346" s="213"/>
      <c r="B346" s="180"/>
      <c r="C346" s="53"/>
      <c r="D346" s="64" t="s">
        <v>140</v>
      </c>
      <c r="E346" s="342">
        <f>22*3</f>
        <v>66</v>
      </c>
      <c r="F346" s="328">
        <v>289.95999999999998</v>
      </c>
      <c r="G346" s="340">
        <f>+F350</f>
        <v>4.5</v>
      </c>
      <c r="H346" s="188">
        <f>+G346*F346*E346</f>
        <v>86118.12</v>
      </c>
      <c r="I346" s="192"/>
      <c r="J346" s="68"/>
      <c r="K346" s="266"/>
      <c r="L346" s="266"/>
    </row>
    <row r="347" spans="1:12" s="76" customFormat="1" x14ac:dyDescent="0.2">
      <c r="A347" s="213"/>
      <c r="B347" s="180"/>
      <c r="C347" s="53"/>
      <c r="D347" s="64" t="s">
        <v>14</v>
      </c>
      <c r="E347" s="252" t="s">
        <v>113</v>
      </c>
      <c r="F347" s="328">
        <v>0</v>
      </c>
      <c r="G347" s="188">
        <f>$H$3</f>
        <v>50</v>
      </c>
      <c r="H347" s="188">
        <f>+G347*F347</f>
        <v>0</v>
      </c>
      <c r="I347" s="192"/>
      <c r="J347" s="68"/>
      <c r="K347" s="266"/>
      <c r="L347" s="266"/>
    </row>
    <row r="348" spans="1:12" s="76" customFormat="1" x14ac:dyDescent="0.2">
      <c r="A348" s="213"/>
      <c r="B348" s="180"/>
      <c r="C348" s="53"/>
      <c r="D348" s="64" t="s">
        <v>16</v>
      </c>
      <c r="E348" s="252" t="s">
        <v>113</v>
      </c>
      <c r="F348" s="328">
        <v>0</v>
      </c>
      <c r="G348" s="188">
        <f>$H$4</f>
        <v>40</v>
      </c>
      <c r="H348" s="188">
        <f>+G348*F348</f>
        <v>0</v>
      </c>
      <c r="I348" s="192"/>
      <c r="J348" s="68"/>
      <c r="K348" s="266"/>
      <c r="L348" s="266"/>
    </row>
    <row r="349" spans="1:12" s="76" customFormat="1" x14ac:dyDescent="0.2">
      <c r="A349" s="213"/>
      <c r="B349" s="180"/>
      <c r="C349" s="53"/>
      <c r="D349" s="64" t="s">
        <v>13</v>
      </c>
      <c r="E349" s="250" t="s">
        <v>146</v>
      </c>
      <c r="F349" s="328">
        <v>31896.03</v>
      </c>
      <c r="G349" s="188">
        <v>0.5</v>
      </c>
      <c r="H349" s="188">
        <f>+G349*F349</f>
        <v>15948.014999999999</v>
      </c>
      <c r="I349" s="192"/>
      <c r="J349" s="68"/>
      <c r="K349" s="266"/>
      <c r="L349" s="266"/>
    </row>
    <row r="350" spans="1:12" s="76" customFormat="1" x14ac:dyDescent="0.2">
      <c r="A350" s="213"/>
      <c r="B350" s="180"/>
      <c r="C350" s="53"/>
      <c r="D350" s="64" t="s">
        <v>139</v>
      </c>
      <c r="E350" s="252" t="s">
        <v>111</v>
      </c>
      <c r="F350" s="333">
        <f>+G344+G345+G349</f>
        <v>4.5</v>
      </c>
      <c r="G350" s="187" t="s">
        <v>130</v>
      </c>
      <c r="H350" s="188">
        <f>SUM(H344:H349)</f>
        <v>229650.255</v>
      </c>
      <c r="I350" s="185"/>
      <c r="J350" s="68"/>
      <c r="K350" s="266"/>
      <c r="L350" s="266"/>
    </row>
    <row r="351" spans="1:12" s="76" customFormat="1" x14ac:dyDescent="0.2">
      <c r="A351" s="213"/>
      <c r="B351" s="180"/>
      <c r="C351" s="53"/>
      <c r="D351" s="93" t="s">
        <v>129</v>
      </c>
      <c r="E351" s="326" t="s">
        <v>111</v>
      </c>
      <c r="F351" s="328"/>
      <c r="G351" s="343"/>
      <c r="H351" s="188">
        <f>H350*8.33%</f>
        <v>19129.8662415</v>
      </c>
      <c r="I351" s="189"/>
      <c r="J351" s="179"/>
      <c r="K351" s="266"/>
      <c r="L351" s="266"/>
    </row>
    <row r="352" spans="1:12" s="76" customFormat="1" x14ac:dyDescent="0.2">
      <c r="A352" s="213"/>
      <c r="B352" s="180"/>
      <c r="C352" s="53"/>
      <c r="D352" s="361" t="s">
        <v>257</v>
      </c>
      <c r="E352" s="328"/>
      <c r="F352" s="328"/>
      <c r="G352" s="331"/>
      <c r="H352" s="188">
        <f>H350*7%</f>
        <v>16075.517850000002</v>
      </c>
      <c r="I352" s="190">
        <v>0</v>
      </c>
      <c r="J352" s="79">
        <f>+(H350+H351+H352)*C343</f>
        <v>264855.63909150002</v>
      </c>
      <c r="K352" s="266"/>
      <c r="L352" s="266"/>
    </row>
    <row r="353" spans="1:12" s="76" customFormat="1" x14ac:dyDescent="0.2">
      <c r="A353" s="213"/>
      <c r="B353" s="180"/>
      <c r="C353" s="53"/>
      <c r="D353" s="80"/>
      <c r="E353" s="7"/>
      <c r="F353" s="333"/>
      <c r="G353" s="334"/>
      <c r="H353" s="335"/>
      <c r="I353" s="192"/>
      <c r="J353" s="68"/>
      <c r="K353" s="266"/>
      <c r="L353" s="266"/>
    </row>
    <row r="354" spans="1:12" s="76" customFormat="1" ht="15" customHeight="1" x14ac:dyDescent="0.2">
      <c r="A354" s="213"/>
      <c r="B354" s="159"/>
      <c r="C354" s="13">
        <v>1</v>
      </c>
      <c r="D354" s="374" t="s">
        <v>260</v>
      </c>
      <c r="E354" s="17">
        <v>37371.11</v>
      </c>
      <c r="F354" s="333"/>
      <c r="G354" s="349"/>
      <c r="H354" s="338"/>
      <c r="I354" s="193"/>
      <c r="J354" s="117"/>
      <c r="K354" s="266"/>
      <c r="L354" s="266"/>
    </row>
    <row r="355" spans="1:12" s="76" customFormat="1" x14ac:dyDescent="0.2">
      <c r="A355" s="213"/>
      <c r="B355" s="160"/>
      <c r="C355" s="53"/>
      <c r="D355" s="64" t="s">
        <v>84</v>
      </c>
      <c r="E355" s="249" t="s">
        <v>145</v>
      </c>
      <c r="F355" s="328">
        <v>37371.11</v>
      </c>
      <c r="G355" s="340">
        <v>1</v>
      </c>
      <c r="H355" s="188">
        <f>+G355*F355</f>
        <v>37371.11</v>
      </c>
      <c r="I355" s="192"/>
      <c r="J355" s="68"/>
      <c r="K355" s="266"/>
      <c r="L355" s="266"/>
    </row>
    <row r="356" spans="1:12" s="76" customFormat="1" x14ac:dyDescent="0.2">
      <c r="A356" s="213"/>
      <c r="B356" s="160"/>
      <c r="C356" s="53"/>
      <c r="D356" s="64" t="s">
        <v>78</v>
      </c>
      <c r="E356" s="250" t="s">
        <v>145</v>
      </c>
      <c r="F356" s="328">
        <v>37371.11</v>
      </c>
      <c r="G356" s="340">
        <v>2.5</v>
      </c>
      <c r="H356" s="188">
        <f>+G356*F356</f>
        <v>93427.774999999994</v>
      </c>
      <c r="I356" s="192"/>
      <c r="J356" s="68"/>
      <c r="K356" s="266"/>
      <c r="L356" s="266"/>
    </row>
    <row r="357" spans="1:12" s="76" customFormat="1" x14ac:dyDescent="0.2">
      <c r="A357" s="213"/>
      <c r="B357" s="160"/>
      <c r="C357" s="53"/>
      <c r="D357" s="64" t="s">
        <v>140</v>
      </c>
      <c r="E357" s="342">
        <f>22*3</f>
        <v>66</v>
      </c>
      <c r="F357" s="328">
        <v>339.73</v>
      </c>
      <c r="G357" s="340">
        <f>+F361</f>
        <v>3.5</v>
      </c>
      <c r="H357" s="188">
        <f>+G357*F357*E357</f>
        <v>78477.63</v>
      </c>
      <c r="I357" s="192"/>
      <c r="J357" s="68"/>
      <c r="K357" s="266"/>
      <c r="L357" s="266"/>
    </row>
    <row r="358" spans="1:12" s="76" customFormat="1" x14ac:dyDescent="0.2">
      <c r="A358" s="213"/>
      <c r="B358" s="160"/>
      <c r="C358" s="53"/>
      <c r="D358" s="64" t="s">
        <v>14</v>
      </c>
      <c r="E358" s="252" t="s">
        <v>113</v>
      </c>
      <c r="F358" s="328">
        <v>0</v>
      </c>
      <c r="G358" s="188">
        <f>$H$3</f>
        <v>50</v>
      </c>
      <c r="H358" s="188">
        <f>+G358*F358</f>
        <v>0</v>
      </c>
      <c r="I358" s="192"/>
      <c r="J358" s="68"/>
      <c r="K358" s="266"/>
      <c r="L358" s="266"/>
    </row>
    <row r="359" spans="1:12" s="76" customFormat="1" x14ac:dyDescent="0.2">
      <c r="A359" s="213"/>
      <c r="B359" s="160"/>
      <c r="C359" s="53"/>
      <c r="D359" s="64" t="s">
        <v>16</v>
      </c>
      <c r="E359" s="252" t="s">
        <v>113</v>
      </c>
      <c r="F359" s="328">
        <v>0</v>
      </c>
      <c r="G359" s="188">
        <f>$H$4</f>
        <v>40</v>
      </c>
      <c r="H359" s="188">
        <f>+G359*F359</f>
        <v>0</v>
      </c>
      <c r="I359" s="192"/>
      <c r="J359" s="68"/>
      <c r="K359" s="266"/>
      <c r="L359" s="266"/>
    </row>
    <row r="360" spans="1:12" s="76" customFormat="1" x14ac:dyDescent="0.2">
      <c r="A360" s="213"/>
      <c r="B360" s="160"/>
      <c r="C360" s="53"/>
      <c r="D360" s="64" t="s">
        <v>13</v>
      </c>
      <c r="E360" s="250" t="s">
        <v>146</v>
      </c>
      <c r="F360" s="328">
        <f>E354</f>
        <v>37371.11</v>
      </c>
      <c r="G360" s="188">
        <v>0</v>
      </c>
      <c r="H360" s="188">
        <f>+G360*F360</f>
        <v>0</v>
      </c>
      <c r="I360" s="192"/>
      <c r="J360" s="68"/>
      <c r="K360" s="266"/>
      <c r="L360" s="266"/>
    </row>
    <row r="361" spans="1:12" s="76" customFormat="1" x14ac:dyDescent="0.2">
      <c r="A361" s="213"/>
      <c r="B361" s="180"/>
      <c r="C361" s="53"/>
      <c r="D361" s="64" t="s">
        <v>139</v>
      </c>
      <c r="E361" s="252" t="s">
        <v>111</v>
      </c>
      <c r="F361" s="333">
        <f>+G355+G356+G360</f>
        <v>3.5</v>
      </c>
      <c r="G361" s="187" t="s">
        <v>130</v>
      </c>
      <c r="H361" s="188">
        <f>SUM(H355:H360)</f>
        <v>209276.51500000001</v>
      </c>
      <c r="I361" s="185"/>
      <c r="J361" s="68"/>
      <c r="K361" s="266"/>
      <c r="L361" s="266"/>
    </row>
    <row r="362" spans="1:12" s="76" customFormat="1" x14ac:dyDescent="0.2">
      <c r="A362" s="213"/>
      <c r="B362" s="177"/>
      <c r="C362" s="53"/>
      <c r="D362" s="93" t="s">
        <v>129</v>
      </c>
      <c r="E362" s="326" t="s">
        <v>111</v>
      </c>
      <c r="F362" s="328"/>
      <c r="G362" s="343"/>
      <c r="H362" s="188">
        <f>H361*8.33%</f>
        <v>17432.733699500001</v>
      </c>
      <c r="I362" s="189"/>
      <c r="J362" s="179"/>
      <c r="K362" s="266"/>
      <c r="L362" s="266"/>
    </row>
    <row r="363" spans="1:12" s="76" customFormat="1" x14ac:dyDescent="0.2">
      <c r="A363" s="213"/>
      <c r="B363" s="177"/>
      <c r="C363" s="53"/>
      <c r="D363" s="361" t="s">
        <v>257</v>
      </c>
      <c r="E363" s="328"/>
      <c r="F363" s="328"/>
      <c r="G363" s="331"/>
      <c r="H363" s="188">
        <f>H361*7%</f>
        <v>14649.356050000002</v>
      </c>
      <c r="I363" s="190">
        <v>0</v>
      </c>
      <c r="J363" s="79">
        <f>+(H361+H362+H363)*C354</f>
        <v>241358.60474950002</v>
      </c>
      <c r="K363" s="266"/>
      <c r="L363" s="266"/>
    </row>
    <row r="364" spans="1:12" s="76" customFormat="1" x14ac:dyDescent="0.2">
      <c r="A364" s="213"/>
      <c r="B364" s="160"/>
      <c r="C364" s="53"/>
      <c r="D364" s="80"/>
      <c r="E364" s="7"/>
      <c r="F364" s="333"/>
      <c r="G364" s="334"/>
      <c r="H364" s="335"/>
      <c r="I364" s="192"/>
      <c r="J364" s="68"/>
      <c r="K364" s="266"/>
      <c r="L364" s="266"/>
    </row>
    <row r="365" spans="1:12" s="76" customFormat="1" ht="15" customHeight="1" x14ac:dyDescent="0.2">
      <c r="A365" s="213"/>
      <c r="B365" s="159"/>
      <c r="C365" s="13">
        <v>1</v>
      </c>
      <c r="D365" s="198" t="s">
        <v>156</v>
      </c>
      <c r="E365" s="17"/>
      <c r="F365" s="333"/>
      <c r="G365" s="349"/>
      <c r="H365" s="338"/>
      <c r="I365" s="193"/>
      <c r="J365" s="117"/>
      <c r="K365" s="266"/>
      <c r="L365" s="266"/>
    </row>
    <row r="366" spans="1:12" s="76" customFormat="1" x14ac:dyDescent="0.2">
      <c r="A366" s="213"/>
      <c r="B366" s="160"/>
      <c r="C366" s="53"/>
      <c r="D366" s="64" t="s">
        <v>84</v>
      </c>
      <c r="E366" s="249" t="s">
        <v>145</v>
      </c>
      <c r="F366" s="328">
        <v>31896.03</v>
      </c>
      <c r="G366" s="340">
        <v>0.25</v>
      </c>
      <c r="H366" s="188">
        <f t="shared" ref="H366:H371" si="9">+G366*F366</f>
        <v>7974.0074999999997</v>
      </c>
      <c r="I366" s="192"/>
      <c r="J366" s="68"/>
      <c r="K366" s="266"/>
      <c r="L366" s="266"/>
    </row>
    <row r="367" spans="1:12" s="76" customFormat="1" x14ac:dyDescent="0.2">
      <c r="A367" s="213"/>
      <c r="B367" s="160"/>
      <c r="C367" s="53"/>
      <c r="D367" s="64" t="s">
        <v>78</v>
      </c>
      <c r="E367" s="250" t="s">
        <v>145</v>
      </c>
      <c r="F367" s="328">
        <v>31896.03</v>
      </c>
      <c r="G367" s="340">
        <v>2.5</v>
      </c>
      <c r="H367" s="188">
        <f t="shared" si="9"/>
        <v>79740.074999999997</v>
      </c>
      <c r="I367" s="192"/>
      <c r="J367" s="68"/>
      <c r="K367" s="266"/>
      <c r="L367" s="266"/>
    </row>
    <row r="368" spans="1:12" s="76" customFormat="1" x14ac:dyDescent="0.2">
      <c r="A368" s="213"/>
      <c r="B368" s="160"/>
      <c r="C368" s="53"/>
      <c r="D368" s="64" t="s">
        <v>140</v>
      </c>
      <c r="E368" s="342">
        <f>22*3</f>
        <v>66</v>
      </c>
      <c r="F368" s="328">
        <v>289.95999999999998</v>
      </c>
      <c r="G368" s="340">
        <f>+F372</f>
        <v>2.75</v>
      </c>
      <c r="H368" s="188">
        <f>+G368*F368*E368</f>
        <v>52627.74</v>
      </c>
      <c r="I368" s="192"/>
      <c r="J368" s="68"/>
      <c r="K368" s="266"/>
      <c r="L368" s="266"/>
    </row>
    <row r="369" spans="1:12" s="76" customFormat="1" x14ac:dyDescent="0.2">
      <c r="A369" s="213"/>
      <c r="B369" s="160"/>
      <c r="C369" s="53"/>
      <c r="D369" s="64" t="s">
        <v>14</v>
      </c>
      <c r="E369" s="252" t="s">
        <v>113</v>
      </c>
      <c r="F369" s="328">
        <v>0</v>
      </c>
      <c r="G369" s="188">
        <f>$H$3</f>
        <v>50</v>
      </c>
      <c r="H369" s="188">
        <f t="shared" si="9"/>
        <v>0</v>
      </c>
      <c r="I369" s="192"/>
      <c r="J369" s="68"/>
      <c r="K369" s="266"/>
      <c r="L369" s="266"/>
    </row>
    <row r="370" spans="1:12" s="76" customFormat="1" x14ac:dyDescent="0.2">
      <c r="A370" s="213"/>
      <c r="B370" s="160"/>
      <c r="C370" s="53"/>
      <c r="D370" s="64" t="s">
        <v>16</v>
      </c>
      <c r="E370" s="252" t="s">
        <v>113</v>
      </c>
      <c r="F370" s="328">
        <v>0</v>
      </c>
      <c r="G370" s="188">
        <f>$H$4</f>
        <v>40</v>
      </c>
      <c r="H370" s="188">
        <f t="shared" si="9"/>
        <v>0</v>
      </c>
      <c r="I370" s="192"/>
      <c r="J370" s="68"/>
      <c r="K370" s="266"/>
      <c r="L370" s="266"/>
    </row>
    <row r="371" spans="1:12" s="76" customFormat="1" x14ac:dyDescent="0.2">
      <c r="A371" s="213"/>
      <c r="B371" s="160"/>
      <c r="C371" s="53"/>
      <c r="D371" s="64" t="s">
        <v>13</v>
      </c>
      <c r="E371" s="250" t="s">
        <v>146</v>
      </c>
      <c r="F371" s="328">
        <f>E365</f>
        <v>0</v>
      </c>
      <c r="G371" s="188">
        <v>0</v>
      </c>
      <c r="H371" s="188">
        <f t="shared" si="9"/>
        <v>0</v>
      </c>
      <c r="I371" s="192"/>
      <c r="J371" s="68"/>
      <c r="K371" s="266"/>
      <c r="L371" s="266"/>
    </row>
    <row r="372" spans="1:12" s="76" customFormat="1" x14ac:dyDescent="0.2">
      <c r="A372" s="213"/>
      <c r="B372" s="180"/>
      <c r="C372" s="53"/>
      <c r="D372" s="64" t="s">
        <v>139</v>
      </c>
      <c r="E372" s="252" t="s">
        <v>111</v>
      </c>
      <c r="F372" s="333">
        <f>+G366+G367+G371</f>
        <v>2.75</v>
      </c>
      <c r="G372" s="187" t="s">
        <v>130</v>
      </c>
      <c r="H372" s="188">
        <f>SUM(H366:H371)</f>
        <v>140341.82249999998</v>
      </c>
      <c r="I372" s="185"/>
      <c r="J372" s="68"/>
      <c r="K372" s="266"/>
      <c r="L372" s="266"/>
    </row>
    <row r="373" spans="1:12" s="76" customFormat="1" x14ac:dyDescent="0.2">
      <c r="A373" s="213"/>
      <c r="B373" s="177"/>
      <c r="C373" s="53"/>
      <c r="D373" s="93" t="s">
        <v>129</v>
      </c>
      <c r="E373" s="326" t="s">
        <v>111</v>
      </c>
      <c r="F373" s="328"/>
      <c r="G373" s="343"/>
      <c r="H373" s="188">
        <f>H372*8.33%</f>
        <v>11690.473814249999</v>
      </c>
      <c r="I373" s="189"/>
      <c r="J373" s="179"/>
      <c r="K373" s="266"/>
      <c r="L373" s="266"/>
    </row>
    <row r="374" spans="1:12" s="76" customFormat="1" x14ac:dyDescent="0.2">
      <c r="A374" s="213"/>
      <c r="B374" s="177"/>
      <c r="C374" s="53"/>
      <c r="D374" s="361" t="s">
        <v>257</v>
      </c>
      <c r="E374" s="328"/>
      <c r="F374" s="328"/>
      <c r="G374" s="331"/>
      <c r="H374" s="188">
        <f>H372*7%</f>
        <v>9823.9275749999997</v>
      </c>
      <c r="I374" s="190">
        <v>0</v>
      </c>
      <c r="J374" s="79">
        <f>+(H372+H373+H374)*C365</f>
        <v>161856.22388924999</v>
      </c>
      <c r="K374" s="266"/>
      <c r="L374" s="266"/>
    </row>
    <row r="375" spans="1:12" s="76" customFormat="1" x14ac:dyDescent="0.2">
      <c r="A375" s="213"/>
      <c r="B375" s="160"/>
      <c r="C375" s="53"/>
      <c r="D375" s="80"/>
      <c r="E375" s="7"/>
      <c r="F375" s="333"/>
      <c r="G375" s="334"/>
      <c r="H375" s="335"/>
      <c r="I375" s="192"/>
      <c r="J375" s="68"/>
      <c r="K375" s="266"/>
      <c r="L375" s="266"/>
    </row>
    <row r="376" spans="1:12" s="76" customFormat="1" ht="15" customHeight="1" x14ac:dyDescent="0.2">
      <c r="A376" s="213"/>
      <c r="B376" s="159"/>
      <c r="C376" s="13">
        <v>1</v>
      </c>
      <c r="D376" s="198" t="s">
        <v>157</v>
      </c>
      <c r="E376" s="17"/>
      <c r="F376" s="333"/>
      <c r="G376" s="349"/>
      <c r="H376" s="338"/>
      <c r="I376" s="193"/>
      <c r="J376" s="117"/>
      <c r="K376" s="266"/>
      <c r="L376" s="266"/>
    </row>
    <row r="377" spans="1:12" s="76" customFormat="1" x14ac:dyDescent="0.2">
      <c r="A377" s="213"/>
      <c r="B377" s="160"/>
      <c r="C377" s="53"/>
      <c r="D377" s="64" t="s">
        <v>84</v>
      </c>
      <c r="E377" s="249" t="s">
        <v>145</v>
      </c>
      <c r="F377" s="184">
        <v>43881.81</v>
      </c>
      <c r="G377" s="52">
        <v>2</v>
      </c>
      <c r="H377" s="24">
        <f t="shared" ref="H377:H382" si="10">+G377*F377</f>
        <v>87763.62</v>
      </c>
      <c r="I377" s="192"/>
      <c r="J377" s="68"/>
      <c r="K377" s="266"/>
      <c r="L377" s="266"/>
    </row>
    <row r="378" spans="1:12" s="76" customFormat="1" x14ac:dyDescent="0.2">
      <c r="A378" s="213"/>
      <c r="B378" s="160"/>
      <c r="C378" s="53"/>
      <c r="D378" s="64" t="s">
        <v>78</v>
      </c>
      <c r="E378" s="250" t="s">
        <v>145</v>
      </c>
      <c r="F378" s="184">
        <v>43881.81</v>
      </c>
      <c r="G378" s="52">
        <v>2.5</v>
      </c>
      <c r="H378" s="24">
        <f t="shared" si="10"/>
        <v>109704.52499999999</v>
      </c>
      <c r="I378" s="192"/>
      <c r="J378" s="68"/>
      <c r="K378" s="266"/>
      <c r="L378" s="266"/>
    </row>
    <row r="379" spans="1:12" s="76" customFormat="1" x14ac:dyDescent="0.2">
      <c r="A379" s="213"/>
      <c r="B379" s="160"/>
      <c r="C379" s="53"/>
      <c r="D379" s="64" t="s">
        <v>140</v>
      </c>
      <c r="E379" s="342">
        <f>22*3</f>
        <v>66</v>
      </c>
      <c r="F379" s="184">
        <v>398.92</v>
      </c>
      <c r="G379" s="52">
        <f>+F383</f>
        <v>5</v>
      </c>
      <c r="H379" s="24">
        <f>+G379*F379*E379</f>
        <v>131643.6</v>
      </c>
      <c r="I379" s="192"/>
      <c r="J379" s="68"/>
      <c r="K379" s="266"/>
      <c r="L379" s="266"/>
    </row>
    <row r="380" spans="1:12" s="76" customFormat="1" x14ac:dyDescent="0.2">
      <c r="A380" s="213"/>
      <c r="B380" s="160"/>
      <c r="C380" s="53"/>
      <c r="D380" s="64" t="s">
        <v>14</v>
      </c>
      <c r="E380" s="252" t="s">
        <v>113</v>
      </c>
      <c r="F380" s="184">
        <v>0</v>
      </c>
      <c r="G380" s="24">
        <f>$H$3</f>
        <v>50</v>
      </c>
      <c r="H380" s="24">
        <f t="shared" si="10"/>
        <v>0</v>
      </c>
      <c r="I380" s="192"/>
      <c r="J380" s="68"/>
      <c r="K380" s="266"/>
      <c r="L380" s="266"/>
    </row>
    <row r="381" spans="1:12" s="76" customFormat="1" x14ac:dyDescent="0.2">
      <c r="A381" s="213"/>
      <c r="B381" s="160"/>
      <c r="C381" s="53"/>
      <c r="D381" s="64" t="s">
        <v>16</v>
      </c>
      <c r="E381" s="252" t="s">
        <v>113</v>
      </c>
      <c r="F381" s="328">
        <v>0</v>
      </c>
      <c r="G381" s="188">
        <f>$H$4</f>
        <v>40</v>
      </c>
      <c r="H381" s="188">
        <f t="shared" si="10"/>
        <v>0</v>
      </c>
      <c r="I381" s="192"/>
      <c r="J381" s="68"/>
      <c r="K381" s="266"/>
      <c r="L381" s="266"/>
    </row>
    <row r="382" spans="1:12" s="76" customFormat="1" x14ac:dyDescent="0.2">
      <c r="A382" s="213"/>
      <c r="B382" s="160"/>
      <c r="C382" s="53"/>
      <c r="D382" s="64" t="s">
        <v>13</v>
      </c>
      <c r="E382" s="250" t="s">
        <v>146</v>
      </c>
      <c r="F382" s="328">
        <v>43881.81</v>
      </c>
      <c r="G382" s="328">
        <v>0.5</v>
      </c>
      <c r="H382" s="188">
        <f t="shared" si="10"/>
        <v>21940.904999999999</v>
      </c>
      <c r="I382" s="192"/>
      <c r="J382" s="68"/>
      <c r="K382" s="266"/>
      <c r="L382" s="266"/>
    </row>
    <row r="383" spans="1:12" s="76" customFormat="1" x14ac:dyDescent="0.2">
      <c r="A383" s="213"/>
      <c r="B383" s="180"/>
      <c r="C383" s="53"/>
      <c r="D383" s="64" t="s">
        <v>139</v>
      </c>
      <c r="E383" s="252" t="s">
        <v>111</v>
      </c>
      <c r="F383" s="333">
        <f>+G377+G378+G382</f>
        <v>5</v>
      </c>
      <c r="G383" s="187" t="s">
        <v>130</v>
      </c>
      <c r="H383" s="188">
        <f>SUM(H377:H382)</f>
        <v>351052.65</v>
      </c>
      <c r="I383" s="185"/>
      <c r="J383" s="68"/>
      <c r="K383" s="266"/>
      <c r="L383" s="266"/>
    </row>
    <row r="384" spans="1:12" s="76" customFormat="1" x14ac:dyDescent="0.2">
      <c r="A384" s="213"/>
      <c r="B384" s="177"/>
      <c r="C384" s="53"/>
      <c r="D384" s="93" t="s">
        <v>129</v>
      </c>
      <c r="E384" s="326" t="s">
        <v>111</v>
      </c>
      <c r="F384" s="328"/>
      <c r="G384" s="343"/>
      <c r="H384" s="188">
        <f>H383*8.33%</f>
        <v>29242.685745000002</v>
      </c>
      <c r="I384" s="189"/>
      <c r="J384" s="179"/>
      <c r="K384" s="266"/>
      <c r="L384" s="266"/>
    </row>
    <row r="385" spans="1:12" s="76" customFormat="1" x14ac:dyDescent="0.2">
      <c r="A385" s="213"/>
      <c r="B385" s="177"/>
      <c r="C385" s="53"/>
      <c r="D385" s="361" t="s">
        <v>257</v>
      </c>
      <c r="E385" s="328"/>
      <c r="F385" s="328"/>
      <c r="G385" s="331"/>
      <c r="H385" s="188">
        <f>H383*7%</f>
        <v>24573.685500000003</v>
      </c>
      <c r="I385" s="190">
        <v>0</v>
      </c>
      <c r="J385" s="79">
        <f>+(H383+H384+H385)*C376</f>
        <v>404869.02124500007</v>
      </c>
      <c r="K385" s="266"/>
      <c r="L385" s="266"/>
    </row>
    <row r="386" spans="1:12" s="76" customFormat="1" x14ac:dyDescent="0.2">
      <c r="A386" s="213"/>
      <c r="B386" s="160"/>
      <c r="C386" s="53"/>
      <c r="D386" s="80"/>
      <c r="E386" s="7"/>
      <c r="F386" s="333"/>
      <c r="G386" s="334"/>
      <c r="H386" s="335"/>
      <c r="I386" s="192"/>
      <c r="J386" s="68"/>
      <c r="K386" s="266"/>
      <c r="L386" s="266"/>
    </row>
    <row r="387" spans="1:12" s="76" customFormat="1" ht="15" customHeight="1" x14ac:dyDescent="0.2">
      <c r="A387" s="213"/>
      <c r="B387" s="159"/>
      <c r="C387" s="13">
        <v>1</v>
      </c>
      <c r="D387" s="198" t="s">
        <v>158</v>
      </c>
      <c r="E387" s="17"/>
      <c r="F387" s="333"/>
      <c r="G387" s="349"/>
      <c r="H387" s="338"/>
      <c r="I387" s="193"/>
      <c r="J387" s="117"/>
      <c r="K387" s="266"/>
      <c r="L387" s="266"/>
    </row>
    <row r="388" spans="1:12" s="76" customFormat="1" x14ac:dyDescent="0.2">
      <c r="A388" s="213"/>
      <c r="B388" s="180"/>
      <c r="C388" s="53"/>
      <c r="D388" s="64" t="s">
        <v>84</v>
      </c>
      <c r="E388" s="249" t="s">
        <v>145</v>
      </c>
      <c r="F388" s="328">
        <v>37371.11</v>
      </c>
      <c r="G388" s="340">
        <v>1.5</v>
      </c>
      <c r="H388" s="188">
        <f>+G388*F388</f>
        <v>56056.665000000001</v>
      </c>
      <c r="I388" s="192"/>
      <c r="J388" s="68"/>
      <c r="K388" s="266"/>
      <c r="L388" s="266"/>
    </row>
    <row r="389" spans="1:12" s="76" customFormat="1" x14ac:dyDescent="0.2">
      <c r="A389" s="213"/>
      <c r="B389" s="180"/>
      <c r="C389" s="53"/>
      <c r="D389" s="64" t="s">
        <v>78</v>
      </c>
      <c r="E389" s="250" t="s">
        <v>145</v>
      </c>
      <c r="F389" s="328">
        <v>37371.11</v>
      </c>
      <c r="G389" s="340">
        <v>2.5</v>
      </c>
      <c r="H389" s="188">
        <f>+G389*F389</f>
        <v>93427.774999999994</v>
      </c>
      <c r="I389" s="192"/>
      <c r="J389" s="68"/>
      <c r="K389" s="266"/>
      <c r="L389" s="266"/>
    </row>
    <row r="390" spans="1:12" s="76" customFormat="1" x14ac:dyDescent="0.2">
      <c r="A390" s="213"/>
      <c r="B390" s="180"/>
      <c r="C390" s="53"/>
      <c r="D390" s="64" t="s">
        <v>140</v>
      </c>
      <c r="E390" s="342">
        <f>22*3</f>
        <v>66</v>
      </c>
      <c r="F390" s="328">
        <v>339.73</v>
      </c>
      <c r="G390" s="340">
        <f>+F394</f>
        <v>4.5</v>
      </c>
      <c r="H390" s="188">
        <f>+G390*F390*E390</f>
        <v>100899.81000000001</v>
      </c>
      <c r="I390" s="192"/>
      <c r="J390" s="68"/>
      <c r="K390" s="266"/>
      <c r="L390" s="266"/>
    </row>
    <row r="391" spans="1:12" s="76" customFormat="1" x14ac:dyDescent="0.2">
      <c r="A391" s="213"/>
      <c r="B391" s="180"/>
      <c r="C391" s="53"/>
      <c r="D391" s="64" t="s">
        <v>14</v>
      </c>
      <c r="E391" s="252" t="s">
        <v>113</v>
      </c>
      <c r="F391" s="328">
        <v>0</v>
      </c>
      <c r="G391" s="188">
        <f>$H$3</f>
        <v>50</v>
      </c>
      <c r="H391" s="188">
        <f>+G391*F391</f>
        <v>0</v>
      </c>
      <c r="I391" s="192"/>
      <c r="J391" s="68"/>
      <c r="K391" s="266"/>
      <c r="L391" s="266"/>
    </row>
    <row r="392" spans="1:12" s="76" customFormat="1" x14ac:dyDescent="0.2">
      <c r="A392" s="213"/>
      <c r="B392" s="180"/>
      <c r="C392" s="53"/>
      <c r="D392" s="64" t="s">
        <v>16</v>
      </c>
      <c r="E392" s="252" t="s">
        <v>113</v>
      </c>
      <c r="F392" s="328">
        <v>0</v>
      </c>
      <c r="G392" s="188">
        <f>$H$4</f>
        <v>40</v>
      </c>
      <c r="H392" s="188">
        <f>+G392*F392</f>
        <v>0</v>
      </c>
      <c r="I392" s="192"/>
      <c r="J392" s="68"/>
      <c r="K392" s="266"/>
      <c r="L392" s="266"/>
    </row>
    <row r="393" spans="1:12" s="76" customFormat="1" x14ac:dyDescent="0.2">
      <c r="A393" s="213"/>
      <c r="B393" s="180"/>
      <c r="C393" s="53"/>
      <c r="D393" s="64" t="s">
        <v>13</v>
      </c>
      <c r="E393" s="250" t="s">
        <v>146</v>
      </c>
      <c r="F393" s="328">
        <v>37371.11</v>
      </c>
      <c r="G393" s="340">
        <v>0.5</v>
      </c>
      <c r="H393" s="188">
        <f>+G393*F393</f>
        <v>18685.555</v>
      </c>
      <c r="I393" s="192"/>
      <c r="J393" s="68"/>
      <c r="K393" s="266"/>
      <c r="L393" s="266"/>
    </row>
    <row r="394" spans="1:12" s="76" customFormat="1" x14ac:dyDescent="0.2">
      <c r="A394" s="213"/>
      <c r="B394" s="180"/>
      <c r="C394" s="53"/>
      <c r="D394" s="64" t="s">
        <v>139</v>
      </c>
      <c r="E394" s="252" t="s">
        <v>111</v>
      </c>
      <c r="F394" s="333">
        <f>+G388+G389+G393</f>
        <v>4.5</v>
      </c>
      <c r="G394" s="187" t="s">
        <v>130</v>
      </c>
      <c r="H394" s="188">
        <f>SUM(H388:H393)</f>
        <v>269069.80499999999</v>
      </c>
      <c r="I394" s="185"/>
      <c r="J394" s="68"/>
      <c r="K394" s="266"/>
      <c r="L394" s="266"/>
    </row>
    <row r="395" spans="1:12" s="76" customFormat="1" x14ac:dyDescent="0.2">
      <c r="A395" s="213"/>
      <c r="B395" s="180"/>
      <c r="C395" s="53"/>
      <c r="D395" s="93" t="s">
        <v>129</v>
      </c>
      <c r="E395" s="326" t="s">
        <v>111</v>
      </c>
      <c r="F395" s="328"/>
      <c r="G395" s="343"/>
      <c r="H395" s="188">
        <f>H394*8.33%</f>
        <v>22413.514756500001</v>
      </c>
      <c r="I395" s="189"/>
      <c r="J395" s="179"/>
      <c r="K395" s="266"/>
      <c r="L395" s="266"/>
    </row>
    <row r="396" spans="1:12" s="76" customFormat="1" x14ac:dyDescent="0.2">
      <c r="A396" s="213"/>
      <c r="B396" s="180"/>
      <c r="C396" s="53"/>
      <c r="D396" s="361" t="s">
        <v>257</v>
      </c>
      <c r="E396" s="328"/>
      <c r="F396" s="328"/>
      <c r="G396" s="331"/>
      <c r="H396" s="188">
        <f>H394*7%</f>
        <v>18834.886350000001</v>
      </c>
      <c r="I396" s="190">
        <v>0</v>
      </c>
      <c r="J396" s="79">
        <f>+(H394+H395+H396)*C387</f>
        <v>310318.2061065</v>
      </c>
      <c r="K396" s="266"/>
      <c r="L396" s="266"/>
    </row>
    <row r="397" spans="1:12" s="76" customFormat="1" x14ac:dyDescent="0.2">
      <c r="A397" s="213"/>
      <c r="B397" s="180"/>
      <c r="C397" s="53"/>
      <c r="D397" s="80"/>
      <c r="E397" s="194"/>
      <c r="F397" s="333"/>
      <c r="G397" s="334"/>
      <c r="H397" s="335"/>
      <c r="I397" s="192"/>
      <c r="J397" s="68"/>
      <c r="K397" s="266"/>
      <c r="L397" s="266"/>
    </row>
    <row r="398" spans="1:12" s="76" customFormat="1" ht="15" customHeight="1" x14ac:dyDescent="0.2">
      <c r="A398" s="213"/>
      <c r="B398" s="159"/>
      <c r="C398" s="13">
        <v>1</v>
      </c>
      <c r="D398" s="198" t="s">
        <v>210</v>
      </c>
      <c r="E398" s="17"/>
      <c r="F398" s="333"/>
      <c r="G398" s="349"/>
      <c r="H398" s="338"/>
      <c r="I398" s="193"/>
      <c r="J398" s="117"/>
      <c r="K398" s="266"/>
      <c r="L398" s="266"/>
    </row>
    <row r="399" spans="1:12" s="76" customFormat="1" x14ac:dyDescent="0.2">
      <c r="A399" s="213"/>
      <c r="B399" s="160"/>
      <c r="C399" s="53"/>
      <c r="D399" s="64" t="s">
        <v>84</v>
      </c>
      <c r="E399" s="249" t="s">
        <v>145</v>
      </c>
      <c r="F399" s="328">
        <v>31896.03</v>
      </c>
      <c r="G399" s="340">
        <v>1</v>
      </c>
      <c r="H399" s="188">
        <f>+G399*F399</f>
        <v>31896.03</v>
      </c>
      <c r="I399" s="192"/>
      <c r="J399" s="68"/>
      <c r="K399" s="266"/>
      <c r="L399" s="266"/>
    </row>
    <row r="400" spans="1:12" s="76" customFormat="1" x14ac:dyDescent="0.2">
      <c r="A400" s="213"/>
      <c r="B400" s="160"/>
      <c r="C400" s="53"/>
      <c r="D400" s="64" t="s">
        <v>78</v>
      </c>
      <c r="E400" s="250" t="s">
        <v>145</v>
      </c>
      <c r="F400" s="328">
        <v>31896.03</v>
      </c>
      <c r="G400" s="340">
        <v>2.5</v>
      </c>
      <c r="H400" s="188">
        <f>+G400*F400</f>
        <v>79740.074999999997</v>
      </c>
      <c r="I400" s="192"/>
      <c r="J400" s="68"/>
      <c r="K400" s="266"/>
      <c r="L400" s="266"/>
    </row>
    <row r="401" spans="1:12" s="76" customFormat="1" x14ac:dyDescent="0.2">
      <c r="A401" s="213"/>
      <c r="B401" s="160"/>
      <c r="C401" s="53"/>
      <c r="D401" s="64" t="s">
        <v>140</v>
      </c>
      <c r="E401" s="342">
        <f>22*3</f>
        <v>66</v>
      </c>
      <c r="F401" s="328">
        <v>289.95999999999998</v>
      </c>
      <c r="G401" s="340">
        <f>+F405</f>
        <v>4</v>
      </c>
      <c r="H401" s="188">
        <f>+G401*F401*E401</f>
        <v>76549.439999999988</v>
      </c>
      <c r="I401" s="192"/>
      <c r="J401" s="68"/>
      <c r="K401" s="266"/>
      <c r="L401" s="266"/>
    </row>
    <row r="402" spans="1:12" s="76" customFormat="1" x14ac:dyDescent="0.2">
      <c r="A402" s="213"/>
      <c r="B402" s="160"/>
      <c r="C402" s="53"/>
      <c r="D402" s="64" t="s">
        <v>14</v>
      </c>
      <c r="E402" s="252" t="s">
        <v>113</v>
      </c>
      <c r="F402" s="328">
        <v>0</v>
      </c>
      <c r="G402" s="188">
        <f>$H$3</f>
        <v>50</v>
      </c>
      <c r="H402" s="188">
        <f>+G402*F402</f>
        <v>0</v>
      </c>
      <c r="I402" s="192"/>
      <c r="J402" s="68"/>
      <c r="K402" s="266"/>
      <c r="L402" s="266"/>
    </row>
    <row r="403" spans="1:12" s="76" customFormat="1" x14ac:dyDescent="0.2">
      <c r="A403" s="213"/>
      <c r="B403" s="160"/>
      <c r="C403" s="53"/>
      <c r="D403" s="64" t="s">
        <v>16</v>
      </c>
      <c r="E403" s="252" t="s">
        <v>113</v>
      </c>
      <c r="F403" s="328">
        <v>0</v>
      </c>
      <c r="G403" s="188">
        <f>$H$4</f>
        <v>40</v>
      </c>
      <c r="H403" s="188">
        <f>+G403*F403</f>
        <v>0</v>
      </c>
      <c r="I403" s="192"/>
      <c r="J403" s="68"/>
      <c r="K403" s="266"/>
      <c r="L403" s="266"/>
    </row>
    <row r="404" spans="1:12" s="76" customFormat="1" x14ac:dyDescent="0.2">
      <c r="A404" s="213"/>
      <c r="B404" s="160"/>
      <c r="C404" s="53"/>
      <c r="D404" s="64" t="s">
        <v>13</v>
      </c>
      <c r="E404" s="250" t="s">
        <v>146</v>
      </c>
      <c r="F404" s="328">
        <v>37371.11</v>
      </c>
      <c r="G404" s="340">
        <v>0.5</v>
      </c>
      <c r="H404" s="188">
        <f>+G404*F404</f>
        <v>18685.555</v>
      </c>
      <c r="I404" s="192"/>
      <c r="J404" s="68"/>
      <c r="K404" s="266"/>
      <c r="L404" s="266"/>
    </row>
    <row r="405" spans="1:12" s="76" customFormat="1" x14ac:dyDescent="0.2">
      <c r="A405" s="213"/>
      <c r="B405" s="180"/>
      <c r="C405" s="53"/>
      <c r="D405" s="64" t="s">
        <v>139</v>
      </c>
      <c r="E405" s="252" t="s">
        <v>111</v>
      </c>
      <c r="F405" s="333">
        <f>+G399+G400+G404</f>
        <v>4</v>
      </c>
      <c r="G405" s="187" t="s">
        <v>130</v>
      </c>
      <c r="H405" s="188">
        <f>SUM(H399:H404)</f>
        <v>206871.09999999998</v>
      </c>
      <c r="I405" s="185"/>
      <c r="J405" s="68"/>
      <c r="K405" s="266"/>
      <c r="L405" s="266"/>
    </row>
    <row r="406" spans="1:12" s="76" customFormat="1" x14ac:dyDescent="0.2">
      <c r="A406" s="213"/>
      <c r="B406" s="177"/>
      <c r="C406" s="53"/>
      <c r="D406" s="93" t="s">
        <v>129</v>
      </c>
      <c r="E406" s="326" t="s">
        <v>111</v>
      </c>
      <c r="F406" s="328"/>
      <c r="G406" s="343"/>
      <c r="H406" s="188">
        <f>H405*8.33%</f>
        <v>17232.36263</v>
      </c>
      <c r="I406" s="189"/>
      <c r="J406" s="179"/>
      <c r="K406" s="266"/>
      <c r="L406" s="266"/>
    </row>
    <row r="407" spans="1:12" s="76" customFormat="1" x14ac:dyDescent="0.2">
      <c r="A407" s="213"/>
      <c r="B407" s="177"/>
      <c r="C407" s="53"/>
      <c r="D407" s="361" t="s">
        <v>257</v>
      </c>
      <c r="E407" s="328"/>
      <c r="F407" s="328"/>
      <c r="G407" s="331"/>
      <c r="H407" s="188">
        <f>H405*7%</f>
        <v>14480.976999999999</v>
      </c>
      <c r="I407" s="190">
        <v>0</v>
      </c>
      <c r="J407" s="79">
        <f>+(H405+H406+H407)*C398</f>
        <v>238584.43962999998</v>
      </c>
      <c r="K407" s="266"/>
      <c r="L407" s="266"/>
    </row>
    <row r="408" spans="1:12" s="76" customFormat="1" x14ac:dyDescent="0.2">
      <c r="A408" s="213"/>
      <c r="B408" s="160"/>
      <c r="C408" s="53"/>
      <c r="D408" s="80"/>
      <c r="E408" s="194"/>
      <c r="F408" s="333"/>
      <c r="G408" s="334"/>
      <c r="H408" s="335"/>
      <c r="I408" s="192"/>
      <c r="J408" s="68"/>
      <c r="K408" s="266"/>
      <c r="L408" s="266"/>
    </row>
    <row r="409" spans="1:12" s="76" customFormat="1" ht="15" customHeight="1" x14ac:dyDescent="0.2">
      <c r="A409" s="213"/>
      <c r="B409" s="159"/>
      <c r="C409" s="13">
        <v>1</v>
      </c>
      <c r="D409" s="198" t="s">
        <v>159</v>
      </c>
      <c r="E409" s="17"/>
      <c r="F409" s="333"/>
      <c r="G409" s="349"/>
      <c r="H409" s="338"/>
      <c r="I409" s="193"/>
      <c r="J409" s="117"/>
      <c r="K409" s="266"/>
      <c r="L409" s="266"/>
    </row>
    <row r="410" spans="1:12" s="76" customFormat="1" x14ac:dyDescent="0.2">
      <c r="A410" s="213"/>
      <c r="B410" s="160"/>
      <c r="C410" s="53"/>
      <c r="D410" s="64" t="s">
        <v>84</v>
      </c>
      <c r="E410" s="249" t="s">
        <v>145</v>
      </c>
      <c r="F410" s="328">
        <v>31896.03</v>
      </c>
      <c r="G410" s="340">
        <v>0.5</v>
      </c>
      <c r="H410" s="188">
        <f>+G410*F410</f>
        <v>15948.014999999999</v>
      </c>
      <c r="I410" s="192"/>
      <c r="J410" s="68"/>
      <c r="K410" s="266"/>
      <c r="L410" s="266"/>
    </row>
    <row r="411" spans="1:12" s="76" customFormat="1" x14ac:dyDescent="0.2">
      <c r="A411" s="213"/>
      <c r="B411" s="160"/>
      <c r="C411" s="53"/>
      <c r="D411" s="64" t="s">
        <v>78</v>
      </c>
      <c r="E411" s="250" t="s">
        <v>145</v>
      </c>
      <c r="F411" s="328">
        <v>31896.03</v>
      </c>
      <c r="G411" s="340">
        <v>2.5</v>
      </c>
      <c r="H411" s="188">
        <f>+G411*F411</f>
        <v>79740.074999999997</v>
      </c>
      <c r="I411" s="192"/>
      <c r="J411" s="68"/>
      <c r="K411" s="266"/>
      <c r="L411" s="266"/>
    </row>
    <row r="412" spans="1:12" s="76" customFormat="1" x14ac:dyDescent="0.2">
      <c r="A412" s="213"/>
      <c r="B412" s="160"/>
      <c r="C412" s="53"/>
      <c r="D412" s="64" t="s">
        <v>140</v>
      </c>
      <c r="E412" s="342">
        <f>22*3</f>
        <v>66</v>
      </c>
      <c r="F412" s="328">
        <v>289.95999999999998</v>
      </c>
      <c r="G412" s="340">
        <f>+F416</f>
        <v>3</v>
      </c>
      <c r="H412" s="188">
        <f>+G412*F412*E412</f>
        <v>57412.079999999994</v>
      </c>
      <c r="I412" s="192"/>
      <c r="J412" s="68"/>
      <c r="K412" s="266"/>
      <c r="L412" s="266"/>
    </row>
    <row r="413" spans="1:12" s="76" customFormat="1" x14ac:dyDescent="0.2">
      <c r="A413" s="213"/>
      <c r="B413" s="160"/>
      <c r="C413" s="53"/>
      <c r="D413" s="64" t="s">
        <v>14</v>
      </c>
      <c r="E413" s="252" t="s">
        <v>113</v>
      </c>
      <c r="F413" s="328">
        <v>0</v>
      </c>
      <c r="G413" s="188">
        <f>$H$3</f>
        <v>50</v>
      </c>
      <c r="H413" s="188">
        <f>+G413*F413</f>
        <v>0</v>
      </c>
      <c r="I413" s="192"/>
      <c r="J413" s="68"/>
      <c r="K413" s="266"/>
      <c r="L413" s="266"/>
    </row>
    <row r="414" spans="1:12" s="76" customFormat="1" x14ac:dyDescent="0.2">
      <c r="A414" s="213"/>
      <c r="B414" s="160"/>
      <c r="C414" s="53"/>
      <c r="D414" s="64" t="s">
        <v>16</v>
      </c>
      <c r="E414" s="252" t="s">
        <v>113</v>
      </c>
      <c r="F414" s="328">
        <v>0</v>
      </c>
      <c r="G414" s="188">
        <f>$H$4</f>
        <v>40</v>
      </c>
      <c r="H414" s="188">
        <f>+G414*F414</f>
        <v>0</v>
      </c>
      <c r="I414" s="192"/>
      <c r="J414" s="68"/>
      <c r="K414" s="266"/>
      <c r="L414" s="266"/>
    </row>
    <row r="415" spans="1:12" s="76" customFormat="1" x14ac:dyDescent="0.2">
      <c r="A415" s="213"/>
      <c r="B415" s="160"/>
      <c r="C415" s="53"/>
      <c r="D415" s="64" t="s">
        <v>13</v>
      </c>
      <c r="E415" s="250" t="s">
        <v>146</v>
      </c>
      <c r="F415" s="328">
        <f>E409</f>
        <v>0</v>
      </c>
      <c r="G415" s="188">
        <v>0</v>
      </c>
      <c r="H415" s="188">
        <f>+G415*F415</f>
        <v>0</v>
      </c>
      <c r="I415" s="192"/>
      <c r="J415" s="68"/>
      <c r="K415" s="266"/>
      <c r="L415" s="266"/>
    </row>
    <row r="416" spans="1:12" s="76" customFormat="1" x14ac:dyDescent="0.2">
      <c r="A416" s="213"/>
      <c r="B416" s="180"/>
      <c r="C416" s="53"/>
      <c r="D416" s="64" t="s">
        <v>139</v>
      </c>
      <c r="E416" s="252" t="s">
        <v>111</v>
      </c>
      <c r="F416" s="333">
        <f>+G410+G411+G415</f>
        <v>3</v>
      </c>
      <c r="G416" s="187" t="s">
        <v>130</v>
      </c>
      <c r="H416" s="188">
        <f>SUM(H410:H415)</f>
        <v>153100.16999999998</v>
      </c>
      <c r="I416" s="185"/>
      <c r="J416" s="68"/>
      <c r="K416" s="266"/>
      <c r="L416" s="266"/>
    </row>
    <row r="417" spans="1:12" s="76" customFormat="1" x14ac:dyDescent="0.2">
      <c r="A417" s="213"/>
      <c r="B417" s="177"/>
      <c r="C417" s="53"/>
      <c r="D417" s="93" t="s">
        <v>129</v>
      </c>
      <c r="E417" s="326" t="s">
        <v>111</v>
      </c>
      <c r="F417" s="328"/>
      <c r="G417" s="343"/>
      <c r="H417" s="188">
        <f>H416*8.33%</f>
        <v>12753.244160999999</v>
      </c>
      <c r="I417" s="189"/>
      <c r="J417" s="179"/>
      <c r="K417" s="266"/>
      <c r="L417" s="266"/>
    </row>
    <row r="418" spans="1:12" s="76" customFormat="1" x14ac:dyDescent="0.2">
      <c r="A418" s="213"/>
      <c r="B418" s="177"/>
      <c r="C418" s="53"/>
      <c r="D418" s="361" t="s">
        <v>257</v>
      </c>
      <c r="E418" s="328"/>
      <c r="F418" s="328"/>
      <c r="G418" s="331"/>
      <c r="H418" s="188">
        <f>H416*7%</f>
        <v>10717.0119</v>
      </c>
      <c r="I418" s="190">
        <v>0</v>
      </c>
      <c r="J418" s="79">
        <f>+(H416+H417+H418)*C409</f>
        <v>176570.42606100001</v>
      </c>
      <c r="K418" s="266"/>
      <c r="L418" s="266"/>
    </row>
    <row r="419" spans="1:12" s="76" customFormat="1" x14ac:dyDescent="0.2">
      <c r="A419" s="213"/>
      <c r="B419" s="160"/>
      <c r="C419" s="53"/>
      <c r="D419" s="80"/>
      <c r="E419" s="194"/>
      <c r="F419" s="333"/>
      <c r="G419" s="334"/>
      <c r="H419" s="335"/>
      <c r="I419" s="192"/>
      <c r="J419" s="68"/>
      <c r="K419" s="266"/>
      <c r="L419" s="266"/>
    </row>
    <row r="420" spans="1:12" s="76" customFormat="1" ht="15" customHeight="1" x14ac:dyDescent="0.2">
      <c r="A420" s="213"/>
      <c r="B420" s="159"/>
      <c r="C420" s="13">
        <v>1</v>
      </c>
      <c r="D420" s="198" t="s">
        <v>348</v>
      </c>
      <c r="E420" s="17"/>
      <c r="F420" s="333"/>
      <c r="G420" s="349"/>
      <c r="H420" s="338"/>
      <c r="I420" s="193"/>
      <c r="J420" s="117"/>
      <c r="K420" s="266"/>
      <c r="L420" s="266"/>
    </row>
    <row r="421" spans="1:12" s="76" customFormat="1" x14ac:dyDescent="0.2">
      <c r="A421" s="213"/>
      <c r="B421" s="160"/>
      <c r="C421" s="53"/>
      <c r="D421" s="64" t="s">
        <v>84</v>
      </c>
      <c r="E421" s="249" t="s">
        <v>145</v>
      </c>
      <c r="F421" s="184">
        <v>43881.81</v>
      </c>
      <c r="G421" s="52">
        <v>0.25</v>
      </c>
      <c r="H421" s="24">
        <f>+G421*F421</f>
        <v>10970.452499999999</v>
      </c>
      <c r="I421" s="192"/>
      <c r="J421" s="68"/>
      <c r="K421" s="266"/>
      <c r="L421" s="266"/>
    </row>
    <row r="422" spans="1:12" s="76" customFormat="1" x14ac:dyDescent="0.2">
      <c r="A422" s="213"/>
      <c r="B422" s="160"/>
      <c r="C422" s="53"/>
      <c r="D422" s="64" t="s">
        <v>78</v>
      </c>
      <c r="E422" s="250" t="s">
        <v>145</v>
      </c>
      <c r="F422" s="184">
        <v>43881.81</v>
      </c>
      <c r="G422" s="52">
        <v>2.5</v>
      </c>
      <c r="H422" s="24">
        <f>+G422*F422</f>
        <v>109704.52499999999</v>
      </c>
      <c r="I422" s="192"/>
      <c r="J422" s="68"/>
      <c r="K422" s="266"/>
      <c r="L422" s="266"/>
    </row>
    <row r="423" spans="1:12" s="76" customFormat="1" x14ac:dyDescent="0.2">
      <c r="A423" s="213"/>
      <c r="B423" s="160"/>
      <c r="C423" s="53"/>
      <c r="D423" s="64" t="s">
        <v>140</v>
      </c>
      <c r="E423" s="342">
        <f>22*3</f>
        <v>66</v>
      </c>
      <c r="F423" s="184">
        <v>398.92</v>
      </c>
      <c r="G423" s="52">
        <f>+F427</f>
        <v>2.75</v>
      </c>
      <c r="H423" s="24">
        <f>+G423*F423*E423</f>
        <v>72403.98</v>
      </c>
      <c r="I423" s="192"/>
      <c r="J423" s="68"/>
      <c r="K423" s="266"/>
      <c r="L423" s="266"/>
    </row>
    <row r="424" spans="1:12" s="76" customFormat="1" x14ac:dyDescent="0.2">
      <c r="A424" s="213"/>
      <c r="B424" s="160"/>
      <c r="C424" s="53"/>
      <c r="D424" s="64" t="s">
        <v>14</v>
      </c>
      <c r="E424" s="252" t="s">
        <v>113</v>
      </c>
      <c r="F424" s="184">
        <v>0</v>
      </c>
      <c r="G424" s="24">
        <f>$H$3</f>
        <v>50</v>
      </c>
      <c r="H424" s="24">
        <f>+G424*F424</f>
        <v>0</v>
      </c>
      <c r="I424" s="192"/>
      <c r="J424" s="68"/>
      <c r="K424" s="266"/>
      <c r="L424" s="266"/>
    </row>
    <row r="425" spans="1:12" s="76" customFormat="1" x14ac:dyDescent="0.2">
      <c r="A425" s="213"/>
      <c r="B425" s="160"/>
      <c r="C425" s="53"/>
      <c r="D425" s="64" t="s">
        <v>16</v>
      </c>
      <c r="E425" s="252" t="s">
        <v>113</v>
      </c>
      <c r="F425" s="184">
        <v>0</v>
      </c>
      <c r="G425" s="24">
        <f>$H$4</f>
        <v>40</v>
      </c>
      <c r="H425" s="24">
        <f>+G425*F425</f>
        <v>0</v>
      </c>
      <c r="I425" s="192"/>
      <c r="J425" s="68"/>
      <c r="K425" s="266"/>
      <c r="L425" s="266"/>
    </row>
    <row r="426" spans="1:12" s="76" customFormat="1" x14ac:dyDescent="0.2">
      <c r="A426" s="213"/>
      <c r="B426" s="160"/>
      <c r="C426" s="53"/>
      <c r="D426" s="64" t="s">
        <v>13</v>
      </c>
      <c r="E426" s="250" t="s">
        <v>146</v>
      </c>
      <c r="F426" s="328">
        <f>E420</f>
        <v>0</v>
      </c>
      <c r="G426" s="188">
        <v>0</v>
      </c>
      <c r="H426" s="188">
        <f>+G426*F426</f>
        <v>0</v>
      </c>
      <c r="I426" s="192"/>
      <c r="J426" s="68"/>
      <c r="K426" s="266"/>
      <c r="L426" s="266"/>
    </row>
    <row r="427" spans="1:12" s="76" customFormat="1" x14ac:dyDescent="0.2">
      <c r="A427" s="213"/>
      <c r="B427" s="180"/>
      <c r="C427" s="53"/>
      <c r="D427" s="64" t="s">
        <v>139</v>
      </c>
      <c r="E427" s="252" t="s">
        <v>111</v>
      </c>
      <c r="F427" s="333">
        <f>+G421+G422+G426</f>
        <v>2.75</v>
      </c>
      <c r="G427" s="187" t="s">
        <v>130</v>
      </c>
      <c r="H427" s="188">
        <f>SUM(H421:H426)</f>
        <v>193078.95749999999</v>
      </c>
      <c r="I427" s="185"/>
      <c r="J427" s="68"/>
      <c r="K427" s="266"/>
      <c r="L427" s="266"/>
    </row>
    <row r="428" spans="1:12" s="76" customFormat="1" x14ac:dyDescent="0.2">
      <c r="A428" s="213"/>
      <c r="B428" s="177"/>
      <c r="C428" s="53"/>
      <c r="D428" s="93" t="s">
        <v>129</v>
      </c>
      <c r="E428" s="326" t="s">
        <v>111</v>
      </c>
      <c r="F428" s="328"/>
      <c r="G428" s="343"/>
      <c r="H428" s="188">
        <f>H427*8.33%</f>
        <v>16083.477159749998</v>
      </c>
      <c r="I428" s="189"/>
      <c r="J428" s="179"/>
      <c r="K428" s="266"/>
      <c r="L428" s="266"/>
    </row>
    <row r="429" spans="1:12" s="76" customFormat="1" x14ac:dyDescent="0.2">
      <c r="A429" s="213"/>
      <c r="B429" s="177"/>
      <c r="C429" s="53"/>
      <c r="D429" s="361" t="s">
        <v>257</v>
      </c>
      <c r="E429" s="328"/>
      <c r="F429" s="328"/>
      <c r="G429" s="331"/>
      <c r="H429" s="188">
        <f>H427*7%</f>
        <v>13515.527025000001</v>
      </c>
      <c r="I429" s="190">
        <v>0</v>
      </c>
      <c r="J429" s="79">
        <f>+(H427+H428+H429)*C420</f>
        <v>222677.96168474999</v>
      </c>
      <c r="K429" s="266"/>
      <c r="L429" s="266"/>
    </row>
    <row r="430" spans="1:12" s="76" customFormat="1" x14ac:dyDescent="0.2">
      <c r="A430" s="213"/>
      <c r="B430" s="160"/>
      <c r="C430" s="53"/>
      <c r="D430" s="80"/>
      <c r="E430" s="7"/>
      <c r="F430" s="333"/>
      <c r="G430" s="334"/>
      <c r="H430" s="335"/>
      <c r="I430" s="192"/>
      <c r="J430" s="68"/>
      <c r="K430" s="266"/>
      <c r="L430" s="266"/>
    </row>
    <row r="431" spans="1:12" s="76" customFormat="1" ht="15" customHeight="1" x14ac:dyDescent="0.2">
      <c r="A431" s="213"/>
      <c r="B431" s="159"/>
      <c r="C431" s="13">
        <v>1</v>
      </c>
      <c r="D431" s="198" t="s">
        <v>349</v>
      </c>
      <c r="E431" s="17"/>
      <c r="F431" s="333"/>
      <c r="G431" s="349"/>
      <c r="H431" s="338"/>
      <c r="I431" s="193"/>
      <c r="J431" s="117"/>
      <c r="K431" s="266"/>
      <c r="L431" s="266"/>
    </row>
    <row r="432" spans="1:12" s="76" customFormat="1" x14ac:dyDescent="0.2">
      <c r="A432" s="213"/>
      <c r="B432" s="160"/>
      <c r="C432" s="53"/>
      <c r="D432" s="64" t="s">
        <v>84</v>
      </c>
      <c r="E432" s="249" t="s">
        <v>145</v>
      </c>
      <c r="F432" s="184">
        <v>43881.81</v>
      </c>
      <c r="G432" s="340">
        <v>0.25</v>
      </c>
      <c r="H432" s="188">
        <f>+G432*F432</f>
        <v>10970.452499999999</v>
      </c>
      <c r="I432" s="192"/>
      <c r="J432" s="68"/>
      <c r="K432" s="266"/>
      <c r="L432" s="266"/>
    </row>
    <row r="433" spans="1:12" s="76" customFormat="1" x14ac:dyDescent="0.2">
      <c r="A433" s="213"/>
      <c r="B433" s="160"/>
      <c r="C433" s="53"/>
      <c r="D433" s="64" t="s">
        <v>78</v>
      </c>
      <c r="E433" s="250" t="s">
        <v>145</v>
      </c>
      <c r="F433" s="184">
        <v>43881.81</v>
      </c>
      <c r="G433" s="340">
        <v>2.5</v>
      </c>
      <c r="H433" s="188">
        <f>+G433*F433</f>
        <v>109704.52499999999</v>
      </c>
      <c r="I433" s="192"/>
      <c r="J433" s="68"/>
      <c r="K433" s="266"/>
      <c r="L433" s="266"/>
    </row>
    <row r="434" spans="1:12" s="76" customFormat="1" x14ac:dyDescent="0.2">
      <c r="A434" s="213"/>
      <c r="B434" s="160"/>
      <c r="C434" s="53"/>
      <c r="D434" s="64" t="s">
        <v>140</v>
      </c>
      <c r="E434" s="342">
        <f>22*3</f>
        <v>66</v>
      </c>
      <c r="F434" s="184">
        <v>398.92</v>
      </c>
      <c r="G434" s="340">
        <f>+F438</f>
        <v>2.75</v>
      </c>
      <c r="H434" s="188">
        <f>+G434*F434*E434</f>
        <v>72403.98</v>
      </c>
      <c r="I434" s="192"/>
      <c r="J434" s="68"/>
      <c r="K434" s="266"/>
      <c r="L434" s="266"/>
    </row>
    <row r="435" spans="1:12" s="76" customFormat="1" x14ac:dyDescent="0.2">
      <c r="A435" s="213"/>
      <c r="B435" s="160"/>
      <c r="C435" s="53"/>
      <c r="D435" s="64" t="s">
        <v>14</v>
      </c>
      <c r="E435" s="252" t="s">
        <v>113</v>
      </c>
      <c r="F435" s="328">
        <v>0</v>
      </c>
      <c r="G435" s="188">
        <f>$H$3</f>
        <v>50</v>
      </c>
      <c r="H435" s="188">
        <f>+G435*F435</f>
        <v>0</v>
      </c>
      <c r="I435" s="192"/>
      <c r="J435" s="68"/>
      <c r="K435" s="266"/>
      <c r="L435" s="266"/>
    </row>
    <row r="436" spans="1:12" s="76" customFormat="1" x14ac:dyDescent="0.2">
      <c r="A436" s="213"/>
      <c r="B436" s="160"/>
      <c r="C436" s="53"/>
      <c r="D436" s="64" t="s">
        <v>16</v>
      </c>
      <c r="E436" s="252" t="s">
        <v>113</v>
      </c>
      <c r="F436" s="328">
        <v>0</v>
      </c>
      <c r="G436" s="188">
        <f>$H$4</f>
        <v>40</v>
      </c>
      <c r="H436" s="188">
        <f>+G436*F436</f>
        <v>0</v>
      </c>
      <c r="I436" s="192"/>
      <c r="J436" s="68"/>
      <c r="K436" s="266"/>
      <c r="L436" s="266"/>
    </row>
    <row r="437" spans="1:12" s="76" customFormat="1" x14ac:dyDescent="0.2">
      <c r="A437" s="213"/>
      <c r="B437" s="160"/>
      <c r="C437" s="53"/>
      <c r="D437" s="64" t="s">
        <v>13</v>
      </c>
      <c r="E437" s="250" t="s">
        <v>146</v>
      </c>
      <c r="F437" s="328">
        <f>E431</f>
        <v>0</v>
      </c>
      <c r="G437" s="188">
        <v>0</v>
      </c>
      <c r="H437" s="188">
        <f>+G437*F437</f>
        <v>0</v>
      </c>
      <c r="I437" s="192"/>
      <c r="J437" s="68"/>
      <c r="K437" s="266"/>
      <c r="L437" s="266"/>
    </row>
    <row r="438" spans="1:12" s="76" customFormat="1" x14ac:dyDescent="0.2">
      <c r="A438" s="213"/>
      <c r="B438" s="180"/>
      <c r="C438" s="53"/>
      <c r="D438" s="64" t="s">
        <v>139</v>
      </c>
      <c r="E438" s="252" t="s">
        <v>111</v>
      </c>
      <c r="F438" s="333">
        <f>+G432+G433+G437</f>
        <v>2.75</v>
      </c>
      <c r="G438" s="187" t="s">
        <v>130</v>
      </c>
      <c r="H438" s="188">
        <f>SUM(H432:H437)</f>
        <v>193078.95749999999</v>
      </c>
      <c r="I438" s="185"/>
      <c r="J438" s="68"/>
      <c r="K438" s="266"/>
      <c r="L438" s="266"/>
    </row>
    <row r="439" spans="1:12" s="76" customFormat="1" x14ac:dyDescent="0.2">
      <c r="A439" s="213"/>
      <c r="B439" s="177"/>
      <c r="C439" s="53"/>
      <c r="D439" s="93" t="s">
        <v>129</v>
      </c>
      <c r="E439" s="326" t="s">
        <v>111</v>
      </c>
      <c r="F439" s="328"/>
      <c r="G439" s="343"/>
      <c r="H439" s="188">
        <f>H438*8.33%</f>
        <v>16083.477159749998</v>
      </c>
      <c r="I439" s="189"/>
      <c r="J439" s="179"/>
      <c r="K439" s="266"/>
      <c r="L439" s="266"/>
    </row>
    <row r="440" spans="1:12" s="76" customFormat="1" x14ac:dyDescent="0.2">
      <c r="A440" s="213"/>
      <c r="B440" s="177"/>
      <c r="C440" s="53"/>
      <c r="D440" s="361" t="s">
        <v>257</v>
      </c>
      <c r="E440" s="328"/>
      <c r="F440" s="328"/>
      <c r="G440" s="331"/>
      <c r="H440" s="188">
        <f>H438*7%</f>
        <v>13515.527025000001</v>
      </c>
      <c r="I440" s="190">
        <v>0</v>
      </c>
      <c r="J440" s="79">
        <f>+(H438+H439+H440)*C431</f>
        <v>222677.96168474999</v>
      </c>
      <c r="K440" s="266"/>
      <c r="L440" s="266"/>
    </row>
    <row r="441" spans="1:12" s="76" customFormat="1" x14ac:dyDescent="0.2">
      <c r="A441" s="213"/>
      <c r="B441" s="160"/>
      <c r="C441" s="53"/>
      <c r="D441" s="80"/>
      <c r="E441" s="7"/>
      <c r="F441" s="333"/>
      <c r="G441" s="334"/>
      <c r="H441" s="335"/>
      <c r="I441" s="192"/>
      <c r="J441" s="68"/>
      <c r="K441" s="266"/>
      <c r="L441" s="266"/>
    </row>
    <row r="442" spans="1:12" s="76" customFormat="1" ht="15" customHeight="1" x14ac:dyDescent="0.2">
      <c r="A442" s="213"/>
      <c r="B442" s="159"/>
      <c r="C442" s="13">
        <v>1</v>
      </c>
      <c r="D442" s="198" t="s">
        <v>350</v>
      </c>
      <c r="E442" s="17"/>
      <c r="F442" s="333"/>
      <c r="G442" s="349"/>
      <c r="H442" s="338"/>
      <c r="I442" s="193"/>
      <c r="J442" s="117"/>
      <c r="K442" s="266"/>
      <c r="L442" s="266"/>
    </row>
    <row r="443" spans="1:12" s="76" customFormat="1" x14ac:dyDescent="0.2">
      <c r="A443" s="213"/>
      <c r="B443" s="160"/>
      <c r="C443" s="53"/>
      <c r="D443" s="64" t="s">
        <v>84</v>
      </c>
      <c r="E443" s="249" t="s">
        <v>145</v>
      </c>
      <c r="F443" s="328">
        <v>34474.22</v>
      </c>
      <c r="G443" s="340">
        <v>0.25</v>
      </c>
      <c r="H443" s="188">
        <f t="shared" ref="H443:H448" si="11">+G443*F443</f>
        <v>8618.5550000000003</v>
      </c>
      <c r="I443" s="192"/>
      <c r="J443" s="68"/>
      <c r="K443" s="266"/>
      <c r="L443" s="266"/>
    </row>
    <row r="444" spans="1:12" s="76" customFormat="1" x14ac:dyDescent="0.2">
      <c r="A444" s="213"/>
      <c r="B444" s="160"/>
      <c r="C444" s="53"/>
      <c r="D444" s="64" t="s">
        <v>78</v>
      </c>
      <c r="E444" s="250" t="s">
        <v>145</v>
      </c>
      <c r="F444" s="328">
        <v>34474.22</v>
      </c>
      <c r="G444" s="340">
        <v>2.5</v>
      </c>
      <c r="H444" s="188">
        <f t="shared" si="11"/>
        <v>86185.55</v>
      </c>
      <c r="I444" s="192"/>
      <c r="J444" s="68"/>
      <c r="K444" s="266"/>
      <c r="L444" s="266"/>
    </row>
    <row r="445" spans="1:12" s="76" customFormat="1" x14ac:dyDescent="0.2">
      <c r="A445" s="213"/>
      <c r="B445" s="160"/>
      <c r="C445" s="53"/>
      <c r="D445" s="64" t="s">
        <v>140</v>
      </c>
      <c r="E445" s="342">
        <f>22*3</f>
        <v>66</v>
      </c>
      <c r="F445" s="328">
        <v>313.39999999999998</v>
      </c>
      <c r="G445" s="340">
        <f>+F449</f>
        <v>2.75</v>
      </c>
      <c r="H445" s="188">
        <f>+G445*F445*E445</f>
        <v>56882.099999999991</v>
      </c>
      <c r="I445" s="192"/>
      <c r="J445" s="68"/>
      <c r="K445" s="266"/>
      <c r="L445" s="266"/>
    </row>
    <row r="446" spans="1:12" s="76" customFormat="1" x14ac:dyDescent="0.2">
      <c r="A446" s="213"/>
      <c r="B446" s="160"/>
      <c r="C446" s="53"/>
      <c r="D446" s="64" t="s">
        <v>14</v>
      </c>
      <c r="E446" s="252" t="s">
        <v>113</v>
      </c>
      <c r="F446" s="328">
        <v>0</v>
      </c>
      <c r="G446" s="188">
        <f>$H$3</f>
        <v>50</v>
      </c>
      <c r="H446" s="188">
        <f t="shared" si="11"/>
        <v>0</v>
      </c>
      <c r="I446" s="192"/>
      <c r="J446" s="68"/>
      <c r="K446" s="266"/>
      <c r="L446" s="266"/>
    </row>
    <row r="447" spans="1:12" s="76" customFormat="1" x14ac:dyDescent="0.2">
      <c r="A447" s="213"/>
      <c r="B447" s="160"/>
      <c r="C447" s="53"/>
      <c r="D447" s="64" t="s">
        <v>16</v>
      </c>
      <c r="E447" s="252" t="s">
        <v>113</v>
      </c>
      <c r="F447" s="328">
        <v>0</v>
      </c>
      <c r="G447" s="188">
        <f>$H$4</f>
        <v>40</v>
      </c>
      <c r="H447" s="188">
        <f t="shared" si="11"/>
        <v>0</v>
      </c>
      <c r="I447" s="192"/>
      <c r="J447" s="68"/>
      <c r="K447" s="266"/>
      <c r="L447" s="266"/>
    </row>
    <row r="448" spans="1:12" s="76" customFormat="1" x14ac:dyDescent="0.2">
      <c r="A448" s="213"/>
      <c r="B448" s="160"/>
      <c r="C448" s="53"/>
      <c r="D448" s="64" t="s">
        <v>13</v>
      </c>
      <c r="E448" s="250" t="s">
        <v>146</v>
      </c>
      <c r="F448" s="328">
        <f>E442</f>
        <v>0</v>
      </c>
      <c r="G448" s="188">
        <v>0</v>
      </c>
      <c r="H448" s="188">
        <f t="shared" si="11"/>
        <v>0</v>
      </c>
      <c r="I448" s="192"/>
      <c r="J448" s="68"/>
      <c r="K448" s="266"/>
      <c r="L448" s="266"/>
    </row>
    <row r="449" spans="1:12" s="76" customFormat="1" x14ac:dyDescent="0.2">
      <c r="A449" s="213"/>
      <c r="B449" s="180"/>
      <c r="C449" s="53"/>
      <c r="D449" s="64" t="s">
        <v>139</v>
      </c>
      <c r="E449" s="252" t="s">
        <v>111</v>
      </c>
      <c r="F449" s="333">
        <f>+G443+G444+G448</f>
        <v>2.75</v>
      </c>
      <c r="G449" s="187" t="s">
        <v>130</v>
      </c>
      <c r="H449" s="188">
        <f>SUM(H443:H448)</f>
        <v>151686.20500000002</v>
      </c>
      <c r="I449" s="185"/>
      <c r="J449" s="68"/>
      <c r="K449" s="266"/>
      <c r="L449" s="266"/>
    </row>
    <row r="450" spans="1:12" s="76" customFormat="1" x14ac:dyDescent="0.2">
      <c r="A450" s="213"/>
      <c r="B450" s="177"/>
      <c r="C450" s="53"/>
      <c r="D450" s="93" t="s">
        <v>129</v>
      </c>
      <c r="E450" s="326" t="s">
        <v>111</v>
      </c>
      <c r="F450" s="328"/>
      <c r="G450" s="343"/>
      <c r="H450" s="188">
        <f>H449*8.33%</f>
        <v>12635.460876500001</v>
      </c>
      <c r="I450" s="189"/>
      <c r="J450" s="179"/>
      <c r="K450" s="266"/>
      <c r="L450" s="266"/>
    </row>
    <row r="451" spans="1:12" s="76" customFormat="1" x14ac:dyDescent="0.2">
      <c r="A451" s="213"/>
      <c r="B451" s="177"/>
      <c r="C451" s="53"/>
      <c r="D451" s="361" t="s">
        <v>257</v>
      </c>
      <c r="E451" s="328"/>
      <c r="F451" s="328"/>
      <c r="G451" s="331"/>
      <c r="H451" s="188">
        <f>H449*7%</f>
        <v>10618.034350000002</v>
      </c>
      <c r="I451" s="190">
        <v>0</v>
      </c>
      <c r="J451" s="79">
        <f>+(H449+H450+H451)*C442</f>
        <v>174939.70022650002</v>
      </c>
      <c r="K451" s="266"/>
      <c r="L451" s="266"/>
    </row>
    <row r="452" spans="1:12" s="76" customFormat="1" x14ac:dyDescent="0.2">
      <c r="A452" s="213"/>
      <c r="B452" s="160"/>
      <c r="C452" s="53"/>
      <c r="D452" s="80"/>
      <c r="E452" s="7"/>
      <c r="F452" s="333"/>
      <c r="G452" s="334"/>
      <c r="H452" s="335"/>
      <c r="I452" s="192"/>
      <c r="J452" s="68"/>
      <c r="K452" s="266"/>
      <c r="L452" s="266"/>
    </row>
    <row r="453" spans="1:12" s="76" customFormat="1" ht="15" customHeight="1" x14ac:dyDescent="0.2">
      <c r="A453" s="213"/>
      <c r="B453" s="159"/>
      <c r="C453" s="13">
        <v>1</v>
      </c>
      <c r="D453" s="374" t="s">
        <v>261</v>
      </c>
      <c r="E453" s="17"/>
      <c r="F453" s="333"/>
      <c r="G453" s="349"/>
      <c r="H453" s="338"/>
      <c r="I453" s="193"/>
      <c r="J453" s="117"/>
      <c r="K453" s="266"/>
      <c r="L453" s="266"/>
    </row>
    <row r="454" spans="1:12" s="76" customFormat="1" x14ac:dyDescent="0.2">
      <c r="A454" s="213"/>
      <c r="B454" s="160"/>
      <c r="C454" s="53"/>
      <c r="D454" s="64" t="s">
        <v>84</v>
      </c>
      <c r="E454" s="249" t="s">
        <v>145</v>
      </c>
      <c r="F454" s="328">
        <v>40521.599999999999</v>
      </c>
      <c r="G454" s="340">
        <v>0.2</v>
      </c>
      <c r="H454" s="188">
        <f t="shared" ref="H454:H459" si="12">+G454*F454</f>
        <v>8104.32</v>
      </c>
      <c r="I454" s="192"/>
      <c r="J454" s="68"/>
      <c r="K454" s="266"/>
      <c r="L454" s="266"/>
    </row>
    <row r="455" spans="1:12" s="76" customFormat="1" x14ac:dyDescent="0.2">
      <c r="A455" s="213"/>
      <c r="B455" s="160"/>
      <c r="C455" s="53"/>
      <c r="D455" s="64" t="s">
        <v>78</v>
      </c>
      <c r="E455" s="250" t="s">
        <v>145</v>
      </c>
      <c r="F455" s="328">
        <v>40521.599999999999</v>
      </c>
      <c r="G455" s="340">
        <v>2.5</v>
      </c>
      <c r="H455" s="188">
        <f t="shared" si="12"/>
        <v>101304</v>
      </c>
      <c r="I455" s="192"/>
      <c r="J455" s="68"/>
      <c r="K455" s="266"/>
      <c r="L455" s="266"/>
    </row>
    <row r="456" spans="1:12" s="76" customFormat="1" x14ac:dyDescent="0.2">
      <c r="A456" s="213"/>
      <c r="B456" s="160"/>
      <c r="C456" s="53"/>
      <c r="D456" s="64" t="s">
        <v>140</v>
      </c>
      <c r="E456" s="342">
        <f>22*3</f>
        <v>66</v>
      </c>
      <c r="F456" s="328">
        <v>368.37</v>
      </c>
      <c r="G456" s="340">
        <f>+F460</f>
        <v>2.7</v>
      </c>
      <c r="H456" s="188">
        <f>+G456*F456*E456</f>
        <v>65643.534</v>
      </c>
      <c r="I456" s="192"/>
      <c r="J456" s="68"/>
      <c r="K456" s="266"/>
      <c r="L456" s="266"/>
    </row>
    <row r="457" spans="1:12" s="76" customFormat="1" x14ac:dyDescent="0.2">
      <c r="A457" s="213"/>
      <c r="B457" s="160"/>
      <c r="C457" s="53"/>
      <c r="D457" s="64" t="s">
        <v>14</v>
      </c>
      <c r="E457" s="252" t="s">
        <v>113</v>
      </c>
      <c r="F457" s="328">
        <v>0</v>
      </c>
      <c r="G457" s="188">
        <f>$H$3</f>
        <v>50</v>
      </c>
      <c r="H457" s="188">
        <f t="shared" si="12"/>
        <v>0</v>
      </c>
      <c r="I457" s="192"/>
      <c r="J457" s="68"/>
      <c r="K457" s="266"/>
      <c r="L457" s="266"/>
    </row>
    <row r="458" spans="1:12" s="76" customFormat="1" x14ac:dyDescent="0.2">
      <c r="A458" s="213"/>
      <c r="B458" s="160"/>
      <c r="C458" s="53"/>
      <c r="D458" s="64" t="s">
        <v>16</v>
      </c>
      <c r="E458" s="252" t="s">
        <v>113</v>
      </c>
      <c r="F458" s="328">
        <v>0</v>
      </c>
      <c r="G458" s="188">
        <f>$H$4</f>
        <v>40</v>
      </c>
      <c r="H458" s="188">
        <f t="shared" si="12"/>
        <v>0</v>
      </c>
      <c r="I458" s="192"/>
      <c r="J458" s="68"/>
      <c r="K458" s="266"/>
      <c r="L458" s="266"/>
    </row>
    <row r="459" spans="1:12" s="76" customFormat="1" x14ac:dyDescent="0.2">
      <c r="A459" s="213"/>
      <c r="B459" s="160"/>
      <c r="C459" s="53"/>
      <c r="D459" s="64" t="s">
        <v>13</v>
      </c>
      <c r="E459" s="250" t="s">
        <v>146</v>
      </c>
      <c r="F459" s="328">
        <f>E453</f>
        <v>0</v>
      </c>
      <c r="G459" s="188">
        <v>0</v>
      </c>
      <c r="H459" s="188">
        <f t="shared" si="12"/>
        <v>0</v>
      </c>
      <c r="I459" s="192"/>
      <c r="J459" s="68"/>
      <c r="K459" s="266"/>
      <c r="L459" s="266"/>
    </row>
    <row r="460" spans="1:12" s="76" customFormat="1" x14ac:dyDescent="0.2">
      <c r="A460" s="213"/>
      <c r="B460" s="180"/>
      <c r="C460" s="53"/>
      <c r="D460" s="64" t="s">
        <v>139</v>
      </c>
      <c r="E460" s="252" t="s">
        <v>111</v>
      </c>
      <c r="F460" s="333">
        <f>+G454+G455+G459</f>
        <v>2.7</v>
      </c>
      <c r="G460" s="187" t="s">
        <v>130</v>
      </c>
      <c r="H460" s="188">
        <f>SUM(H454:H459)</f>
        <v>175051.85399999999</v>
      </c>
      <c r="I460" s="185"/>
      <c r="J460" s="68"/>
      <c r="K460" s="266"/>
      <c r="L460" s="266"/>
    </row>
    <row r="461" spans="1:12" s="76" customFormat="1" x14ac:dyDescent="0.2">
      <c r="A461" s="213"/>
      <c r="B461" s="177"/>
      <c r="C461" s="53"/>
      <c r="D461" s="93" t="s">
        <v>129</v>
      </c>
      <c r="E461" s="326" t="s">
        <v>111</v>
      </c>
      <c r="F461" s="328"/>
      <c r="G461" s="343"/>
      <c r="H461" s="188">
        <f>H460*8.33%</f>
        <v>14581.819438199998</v>
      </c>
      <c r="I461" s="189"/>
      <c r="J461" s="179"/>
      <c r="K461" s="266"/>
      <c r="L461" s="266"/>
    </row>
    <row r="462" spans="1:12" s="76" customFormat="1" x14ac:dyDescent="0.2">
      <c r="A462" s="213"/>
      <c r="B462" s="177"/>
      <c r="C462" s="53"/>
      <c r="D462" s="361" t="s">
        <v>257</v>
      </c>
      <c r="E462" s="328"/>
      <c r="F462" s="328"/>
      <c r="G462" s="331"/>
      <c r="H462" s="188">
        <f>H460*7%</f>
        <v>12253.629780000001</v>
      </c>
      <c r="I462" s="190">
        <v>0</v>
      </c>
      <c r="J462" s="79">
        <f>+(H460+H461+H462)*C453</f>
        <v>201887.30321819999</v>
      </c>
      <c r="K462" s="266"/>
      <c r="L462" s="266"/>
    </row>
    <row r="463" spans="1:12" s="76" customFormat="1" x14ac:dyDescent="0.2">
      <c r="A463" s="213"/>
      <c r="B463" s="160"/>
      <c r="C463" s="53"/>
      <c r="D463" s="80"/>
      <c r="E463" s="7"/>
      <c r="F463" s="333"/>
      <c r="G463" s="334"/>
      <c r="H463" s="335"/>
      <c r="I463" s="192"/>
      <c r="J463" s="68"/>
      <c r="K463" s="266"/>
      <c r="L463" s="266"/>
    </row>
    <row r="464" spans="1:12" s="76" customFormat="1" ht="15" customHeight="1" x14ac:dyDescent="0.2">
      <c r="A464" s="213"/>
      <c r="B464" s="159"/>
      <c r="C464" s="13">
        <v>2</v>
      </c>
      <c r="D464" s="198" t="s">
        <v>160</v>
      </c>
      <c r="E464" s="17"/>
      <c r="F464" s="333"/>
      <c r="G464" s="349"/>
      <c r="H464" s="338"/>
      <c r="I464" s="193"/>
      <c r="J464" s="117"/>
      <c r="K464" s="266"/>
      <c r="L464" s="266"/>
    </row>
    <row r="465" spans="1:12" s="76" customFormat="1" x14ac:dyDescent="0.2">
      <c r="A465" s="213"/>
      <c r="B465" s="160"/>
      <c r="C465" s="53"/>
      <c r="D465" s="64" t="s">
        <v>84</v>
      </c>
      <c r="E465" s="249" t="s">
        <v>145</v>
      </c>
      <c r="F465" s="328">
        <v>31896.03</v>
      </c>
      <c r="G465" s="340">
        <v>0</v>
      </c>
      <c r="H465" s="188">
        <f>+G465*F465</f>
        <v>0</v>
      </c>
      <c r="I465" s="192"/>
      <c r="J465" s="68"/>
      <c r="K465" s="266"/>
      <c r="L465" s="266"/>
    </row>
    <row r="466" spans="1:12" s="76" customFormat="1" x14ac:dyDescent="0.2">
      <c r="A466" s="213"/>
      <c r="B466" s="160"/>
      <c r="C466" s="53"/>
      <c r="D466" s="64" t="s">
        <v>78</v>
      </c>
      <c r="E466" s="250" t="s">
        <v>145</v>
      </c>
      <c r="F466" s="328">
        <v>31896.03</v>
      </c>
      <c r="G466" s="340">
        <v>2.5</v>
      </c>
      <c r="H466" s="188">
        <f>+G466*F466</f>
        <v>79740.074999999997</v>
      </c>
      <c r="I466" s="192"/>
      <c r="J466" s="68"/>
      <c r="K466" s="266"/>
      <c r="L466" s="266"/>
    </row>
    <row r="467" spans="1:12" s="76" customFormat="1" x14ac:dyDescent="0.2">
      <c r="A467" s="213"/>
      <c r="B467" s="160"/>
      <c r="C467" s="53"/>
      <c r="D467" s="64" t="s">
        <v>140</v>
      </c>
      <c r="E467" s="342">
        <f>22*3</f>
        <v>66</v>
      </c>
      <c r="F467" s="328">
        <v>289.95999999999998</v>
      </c>
      <c r="G467" s="340">
        <f>+F471</f>
        <v>2.5</v>
      </c>
      <c r="H467" s="188">
        <f>+G467*F467*E467</f>
        <v>47843.4</v>
      </c>
      <c r="I467" s="192"/>
      <c r="J467" s="68"/>
      <c r="K467" s="266"/>
      <c r="L467" s="266"/>
    </row>
    <row r="468" spans="1:12" s="76" customFormat="1" x14ac:dyDescent="0.2">
      <c r="A468" s="213"/>
      <c r="B468" s="160"/>
      <c r="C468" s="53"/>
      <c r="D468" s="64" t="s">
        <v>14</v>
      </c>
      <c r="E468" s="252" t="s">
        <v>113</v>
      </c>
      <c r="F468" s="328">
        <v>0</v>
      </c>
      <c r="G468" s="188">
        <f>$H$3</f>
        <v>50</v>
      </c>
      <c r="H468" s="188">
        <f>+G468*F468</f>
        <v>0</v>
      </c>
      <c r="I468" s="192"/>
      <c r="J468" s="68"/>
      <c r="K468" s="266"/>
      <c r="L468" s="266"/>
    </row>
    <row r="469" spans="1:12" s="76" customFormat="1" x14ac:dyDescent="0.2">
      <c r="A469" s="213"/>
      <c r="B469" s="160"/>
      <c r="C469" s="53"/>
      <c r="D469" s="64" t="s">
        <v>16</v>
      </c>
      <c r="E469" s="252" t="s">
        <v>113</v>
      </c>
      <c r="F469" s="328">
        <v>0</v>
      </c>
      <c r="G469" s="188">
        <f>$H$4</f>
        <v>40</v>
      </c>
      <c r="H469" s="188">
        <f>+G469*F469</f>
        <v>0</v>
      </c>
      <c r="I469" s="192"/>
      <c r="J469" s="68"/>
      <c r="K469" s="266"/>
      <c r="L469" s="266"/>
    </row>
    <row r="470" spans="1:12" s="76" customFormat="1" x14ac:dyDescent="0.2">
      <c r="A470" s="213"/>
      <c r="B470" s="160"/>
      <c r="C470" s="53"/>
      <c r="D470" s="64" t="s">
        <v>13</v>
      </c>
      <c r="E470" s="250" t="s">
        <v>146</v>
      </c>
      <c r="F470" s="328">
        <f>E464</f>
        <v>0</v>
      </c>
      <c r="G470" s="188">
        <v>0</v>
      </c>
      <c r="H470" s="188">
        <f>+G470*F470</f>
        <v>0</v>
      </c>
      <c r="I470" s="192"/>
      <c r="J470" s="68"/>
      <c r="K470" s="266"/>
      <c r="L470" s="266"/>
    </row>
    <row r="471" spans="1:12" s="76" customFormat="1" x14ac:dyDescent="0.2">
      <c r="A471" s="213"/>
      <c r="B471" s="180"/>
      <c r="C471" s="53"/>
      <c r="D471" s="64" t="s">
        <v>139</v>
      </c>
      <c r="E471" s="252" t="s">
        <v>111</v>
      </c>
      <c r="F471" s="333">
        <f>+G465+G466+G470</f>
        <v>2.5</v>
      </c>
      <c r="G471" s="187" t="s">
        <v>130</v>
      </c>
      <c r="H471" s="188">
        <f>SUM(H465:H470)</f>
        <v>127583.47500000001</v>
      </c>
      <c r="I471" s="185"/>
      <c r="J471" s="68"/>
      <c r="K471" s="266"/>
      <c r="L471" s="266"/>
    </row>
    <row r="472" spans="1:12" s="76" customFormat="1" x14ac:dyDescent="0.2">
      <c r="A472" s="213"/>
      <c r="B472" s="177"/>
      <c r="C472" s="53"/>
      <c r="D472" s="93" t="s">
        <v>129</v>
      </c>
      <c r="E472" s="326" t="s">
        <v>111</v>
      </c>
      <c r="F472" s="328"/>
      <c r="G472" s="343"/>
      <c r="H472" s="188">
        <f>H471*8.33%</f>
        <v>10627.7034675</v>
      </c>
      <c r="I472" s="189"/>
      <c r="J472" s="179"/>
      <c r="K472" s="266"/>
      <c r="L472" s="266"/>
    </row>
    <row r="473" spans="1:12" s="76" customFormat="1" x14ac:dyDescent="0.2">
      <c r="A473" s="213"/>
      <c r="B473" s="177"/>
      <c r="C473" s="53"/>
      <c r="D473" s="361" t="s">
        <v>257</v>
      </c>
      <c r="E473" s="328"/>
      <c r="F473" s="328"/>
      <c r="G473" s="331"/>
      <c r="H473" s="188">
        <f>H471*7%</f>
        <v>8930.8432500000017</v>
      </c>
      <c r="I473" s="190">
        <v>0</v>
      </c>
      <c r="J473" s="79">
        <f>+(H471+H472+H473)*C464</f>
        <v>294284.043435</v>
      </c>
      <c r="K473" s="266"/>
      <c r="L473" s="266"/>
    </row>
    <row r="474" spans="1:12" s="76" customFormat="1" x14ac:dyDescent="0.2">
      <c r="A474" s="213"/>
      <c r="B474" s="160"/>
      <c r="C474" s="53"/>
      <c r="D474" s="80"/>
      <c r="E474" s="7"/>
      <c r="F474" s="333"/>
      <c r="G474" s="334"/>
      <c r="H474" s="335"/>
      <c r="I474" s="192"/>
      <c r="J474" s="68"/>
      <c r="K474" s="266"/>
      <c r="L474" s="266"/>
    </row>
    <row r="475" spans="1:12" s="76" customFormat="1" ht="29.1" customHeight="1" x14ac:dyDescent="0.2">
      <c r="A475" s="213"/>
      <c r="B475" s="293"/>
      <c r="C475" s="145">
        <f>SUM(C145:C470)</f>
        <v>35</v>
      </c>
      <c r="D475" s="80"/>
      <c r="E475" s="7"/>
      <c r="F475" s="181"/>
      <c r="G475" s="191"/>
      <c r="H475" s="27"/>
      <c r="I475" s="192"/>
      <c r="J475" s="68"/>
      <c r="K475" s="266"/>
      <c r="L475" s="266"/>
    </row>
    <row r="476" spans="1:12" s="76" customFormat="1" x14ac:dyDescent="0.2">
      <c r="A476" s="213"/>
      <c r="B476" s="293"/>
      <c r="C476" s="53"/>
      <c r="D476" s="80"/>
      <c r="E476" s="7"/>
      <c r="F476" s="181"/>
      <c r="G476" s="191"/>
      <c r="H476" s="27"/>
      <c r="I476" s="192"/>
      <c r="J476" s="68"/>
      <c r="K476" s="266"/>
      <c r="L476" s="266"/>
    </row>
    <row r="477" spans="1:12" s="76" customFormat="1" ht="15" customHeight="1" x14ac:dyDescent="0.2">
      <c r="A477" s="302"/>
      <c r="B477" s="265"/>
      <c r="C477" s="13"/>
      <c r="D477" s="303" t="s">
        <v>214</v>
      </c>
      <c r="E477" s="81"/>
      <c r="F477" s="72"/>
      <c r="G477" s="73"/>
      <c r="H477" s="304"/>
      <c r="I477" s="46"/>
      <c r="J477" s="46"/>
      <c r="K477" s="266"/>
      <c r="L477" s="266"/>
    </row>
    <row r="478" spans="1:12" s="76" customFormat="1" ht="15" customHeight="1" x14ac:dyDescent="0.2">
      <c r="A478" s="213"/>
      <c r="B478" s="159"/>
      <c r="C478" s="13">
        <v>1</v>
      </c>
      <c r="D478" s="198" t="s">
        <v>357</v>
      </c>
      <c r="E478" s="17">
        <v>50376.94</v>
      </c>
      <c r="F478" s="181"/>
      <c r="G478" s="29"/>
      <c r="H478" s="182"/>
      <c r="I478" s="193"/>
      <c r="J478" s="117"/>
      <c r="K478" s="266"/>
      <c r="L478" s="266"/>
    </row>
    <row r="479" spans="1:12" s="76" customFormat="1" x14ac:dyDescent="0.2">
      <c r="A479" s="213"/>
      <c r="B479" s="160"/>
      <c r="C479" s="53"/>
      <c r="D479" s="64" t="s">
        <v>84</v>
      </c>
      <c r="E479" s="249" t="s">
        <v>145</v>
      </c>
      <c r="F479" s="184">
        <v>50376.94</v>
      </c>
      <c r="G479" s="52">
        <v>0</v>
      </c>
      <c r="H479" s="24">
        <f>+G479*F479</f>
        <v>0</v>
      </c>
      <c r="I479" s="192"/>
      <c r="J479" s="68"/>
      <c r="K479" s="266"/>
      <c r="L479" s="266"/>
    </row>
    <row r="480" spans="1:12" s="76" customFormat="1" x14ac:dyDescent="0.2">
      <c r="A480" s="213"/>
      <c r="B480" s="160"/>
      <c r="C480" s="53"/>
      <c r="D480" s="64" t="s">
        <v>78</v>
      </c>
      <c r="E480" s="250" t="s">
        <v>145</v>
      </c>
      <c r="F480" s="184">
        <v>50376.94</v>
      </c>
      <c r="G480" s="52">
        <v>2.5</v>
      </c>
      <c r="H480" s="24">
        <f>+G480*F480</f>
        <v>125942.35</v>
      </c>
      <c r="I480" s="192"/>
      <c r="J480" s="68"/>
      <c r="K480" s="266"/>
      <c r="L480" s="266"/>
    </row>
    <row r="481" spans="1:12" s="76" customFormat="1" x14ac:dyDescent="0.2">
      <c r="A481" s="213"/>
      <c r="B481" s="160"/>
      <c r="C481" s="53"/>
      <c r="D481" s="64" t="s">
        <v>140</v>
      </c>
      <c r="E481" s="342">
        <f>22*3</f>
        <v>66</v>
      </c>
      <c r="F481" s="328">
        <v>398.92</v>
      </c>
      <c r="G481" s="340">
        <f>+F485</f>
        <v>4.5</v>
      </c>
      <c r="H481" s="188">
        <f>+G481*F481*E481</f>
        <v>118479.24</v>
      </c>
      <c r="I481" s="192"/>
      <c r="J481" s="68"/>
      <c r="K481" s="266"/>
      <c r="L481" s="266"/>
    </row>
    <row r="482" spans="1:12" s="76" customFormat="1" x14ac:dyDescent="0.2">
      <c r="A482" s="213"/>
      <c r="B482" s="160"/>
      <c r="C482" s="53"/>
      <c r="D482" s="64" t="s">
        <v>14</v>
      </c>
      <c r="E482" s="252" t="s">
        <v>113</v>
      </c>
      <c r="F482" s="328">
        <v>0</v>
      </c>
      <c r="G482" s="188">
        <f>$H$3</f>
        <v>50</v>
      </c>
      <c r="H482" s="188">
        <f>+G482*F482</f>
        <v>0</v>
      </c>
      <c r="I482" s="192"/>
      <c r="J482" s="68"/>
      <c r="K482" s="266"/>
      <c r="L482" s="266"/>
    </row>
    <row r="483" spans="1:12" s="76" customFormat="1" x14ac:dyDescent="0.2">
      <c r="A483" s="213"/>
      <c r="B483" s="160"/>
      <c r="C483" s="53"/>
      <c r="D483" s="64" t="s">
        <v>16</v>
      </c>
      <c r="E483" s="252" t="s">
        <v>113</v>
      </c>
      <c r="F483" s="328">
        <v>0</v>
      </c>
      <c r="G483" s="188">
        <f>$H$4</f>
        <v>40</v>
      </c>
      <c r="H483" s="188">
        <f>+G483*F483</f>
        <v>0</v>
      </c>
      <c r="I483" s="192"/>
      <c r="J483" s="68"/>
      <c r="K483" s="266"/>
      <c r="L483" s="266"/>
    </row>
    <row r="484" spans="1:12" s="76" customFormat="1" x14ac:dyDescent="0.2">
      <c r="A484" s="213"/>
      <c r="B484" s="160"/>
      <c r="C484" s="53"/>
      <c r="D484" s="64" t="s">
        <v>13</v>
      </c>
      <c r="E484" s="250" t="s">
        <v>146</v>
      </c>
      <c r="F484" s="328">
        <v>43881.81</v>
      </c>
      <c r="G484" s="340">
        <v>2</v>
      </c>
      <c r="H484" s="188">
        <f>+G484*F484</f>
        <v>87763.62</v>
      </c>
      <c r="I484" s="192"/>
      <c r="J484" s="68"/>
      <c r="K484" s="266"/>
      <c r="L484" s="266"/>
    </row>
    <row r="485" spans="1:12" s="76" customFormat="1" x14ac:dyDescent="0.2">
      <c r="A485" s="213"/>
      <c r="B485" s="180"/>
      <c r="C485" s="53"/>
      <c r="D485" s="64" t="s">
        <v>139</v>
      </c>
      <c r="E485" s="252" t="s">
        <v>111</v>
      </c>
      <c r="F485" s="333">
        <f>+G479+G480+G484</f>
        <v>4.5</v>
      </c>
      <c r="G485" s="187" t="s">
        <v>130</v>
      </c>
      <c r="H485" s="188">
        <f>SUM(H479:H484)</f>
        <v>332185.21000000002</v>
      </c>
      <c r="I485" s="185"/>
      <c r="J485" s="68"/>
      <c r="K485" s="266"/>
      <c r="L485" s="266"/>
    </row>
    <row r="486" spans="1:12" s="76" customFormat="1" x14ac:dyDescent="0.2">
      <c r="A486" s="213"/>
      <c r="B486" s="177"/>
      <c r="C486" s="53"/>
      <c r="D486" s="93" t="s">
        <v>129</v>
      </c>
      <c r="E486" s="326" t="s">
        <v>111</v>
      </c>
      <c r="F486" s="328"/>
      <c r="G486" s="343"/>
      <c r="H486" s="188">
        <f>H485*8.33%</f>
        <v>27671.027993</v>
      </c>
      <c r="I486" s="189"/>
      <c r="J486" s="179"/>
      <c r="K486" s="266"/>
      <c r="L486" s="266"/>
    </row>
    <row r="487" spans="1:12" s="76" customFormat="1" x14ac:dyDescent="0.2">
      <c r="A487" s="213"/>
      <c r="B487" s="177"/>
      <c r="C487" s="53"/>
      <c r="D487" s="361" t="s">
        <v>257</v>
      </c>
      <c r="E487" s="328"/>
      <c r="F487" s="328"/>
      <c r="G487" s="331"/>
      <c r="H487" s="188">
        <f>H485*7%</f>
        <v>23252.964700000004</v>
      </c>
      <c r="I487" s="190">
        <v>0</v>
      </c>
      <c r="J487" s="79">
        <f>+(H485+H486+H487)*C478</f>
        <v>383109.20269300003</v>
      </c>
      <c r="K487" s="266"/>
      <c r="L487" s="266"/>
    </row>
    <row r="488" spans="1:12" s="76" customFormat="1" x14ac:dyDescent="0.2">
      <c r="A488" s="213"/>
      <c r="B488" s="160"/>
      <c r="C488" s="53"/>
      <c r="D488" s="80"/>
      <c r="E488" s="7"/>
      <c r="F488" s="333"/>
      <c r="G488" s="334"/>
      <c r="H488" s="335"/>
      <c r="I488" s="192"/>
      <c r="J488" s="68"/>
      <c r="K488" s="266"/>
      <c r="L488" s="266"/>
    </row>
    <row r="489" spans="1:12" s="76" customFormat="1" ht="15" customHeight="1" x14ac:dyDescent="0.2">
      <c r="A489" s="213"/>
      <c r="B489" s="159"/>
      <c r="C489" s="13">
        <v>2</v>
      </c>
      <c r="D489" s="198" t="s">
        <v>358</v>
      </c>
      <c r="E489" s="17">
        <v>34472.22</v>
      </c>
      <c r="F489" s="333"/>
      <c r="G489" s="349"/>
      <c r="H489" s="338"/>
      <c r="I489" s="193"/>
      <c r="J489" s="117"/>
      <c r="K489" s="266"/>
      <c r="L489" s="266"/>
    </row>
    <row r="490" spans="1:12" s="76" customFormat="1" x14ac:dyDescent="0.2">
      <c r="A490" s="213"/>
      <c r="B490" s="160"/>
      <c r="C490" s="53"/>
      <c r="D490" s="64" t="s">
        <v>84</v>
      </c>
      <c r="E490" s="249" t="s">
        <v>145</v>
      </c>
      <c r="F490" s="328">
        <v>34472.22</v>
      </c>
      <c r="G490" s="340">
        <v>0</v>
      </c>
      <c r="H490" s="188">
        <f>+G490*F490</f>
        <v>0</v>
      </c>
      <c r="I490" s="192"/>
      <c r="J490" s="68"/>
      <c r="K490" s="266"/>
      <c r="L490" s="266"/>
    </row>
    <row r="491" spans="1:12" s="76" customFormat="1" x14ac:dyDescent="0.2">
      <c r="A491" s="213"/>
      <c r="B491" s="160"/>
      <c r="C491" s="53"/>
      <c r="D491" s="64" t="s">
        <v>78</v>
      </c>
      <c r="E491" s="250" t="s">
        <v>145</v>
      </c>
      <c r="F491" s="328">
        <v>34472.22</v>
      </c>
      <c r="G491" s="340">
        <v>2.5</v>
      </c>
      <c r="H491" s="188">
        <f>+G491*F491</f>
        <v>86180.55</v>
      </c>
      <c r="I491" s="192"/>
      <c r="J491" s="68"/>
      <c r="K491" s="266"/>
      <c r="L491" s="266"/>
    </row>
    <row r="492" spans="1:12" s="76" customFormat="1" x14ac:dyDescent="0.2">
      <c r="A492" s="213"/>
      <c r="B492" s="160"/>
      <c r="C492" s="53"/>
      <c r="D492" s="64" t="s">
        <v>140</v>
      </c>
      <c r="E492" s="342">
        <f>22*3</f>
        <v>66</v>
      </c>
      <c r="F492" s="328">
        <v>289.95999999999998</v>
      </c>
      <c r="G492" s="340">
        <f>+F496</f>
        <v>4.5</v>
      </c>
      <c r="H492" s="188">
        <f>+G492*F492*E492</f>
        <v>86118.12</v>
      </c>
      <c r="I492" s="192"/>
      <c r="J492" s="68"/>
      <c r="K492" s="266"/>
      <c r="L492" s="266"/>
    </row>
    <row r="493" spans="1:12" s="76" customFormat="1" x14ac:dyDescent="0.2">
      <c r="A493" s="213"/>
      <c r="B493" s="160"/>
      <c r="C493" s="53"/>
      <c r="D493" s="64" t="s">
        <v>14</v>
      </c>
      <c r="E493" s="252" t="s">
        <v>113</v>
      </c>
      <c r="F493" s="328">
        <v>0</v>
      </c>
      <c r="G493" s="188">
        <f>$H$3</f>
        <v>50</v>
      </c>
      <c r="H493" s="188">
        <f>+G493*F493</f>
        <v>0</v>
      </c>
      <c r="I493" s="192"/>
      <c r="J493" s="68"/>
      <c r="K493" s="266"/>
      <c r="L493" s="266"/>
    </row>
    <row r="494" spans="1:12" s="76" customFormat="1" x14ac:dyDescent="0.2">
      <c r="A494" s="213"/>
      <c r="B494" s="160"/>
      <c r="C494" s="53"/>
      <c r="D494" s="64" t="s">
        <v>16</v>
      </c>
      <c r="E494" s="252" t="s">
        <v>113</v>
      </c>
      <c r="F494" s="328">
        <v>0</v>
      </c>
      <c r="G494" s="188">
        <f>$H$4</f>
        <v>40</v>
      </c>
      <c r="H494" s="188">
        <f>+G494*F494</f>
        <v>0</v>
      </c>
      <c r="I494" s="192"/>
      <c r="J494" s="68"/>
      <c r="K494" s="266"/>
      <c r="L494" s="266"/>
    </row>
    <row r="495" spans="1:12" s="76" customFormat="1" x14ac:dyDescent="0.2">
      <c r="A495" s="213"/>
      <c r="B495" s="160"/>
      <c r="C495" s="53"/>
      <c r="D495" s="64" t="s">
        <v>13</v>
      </c>
      <c r="E495" s="250" t="s">
        <v>146</v>
      </c>
      <c r="F495" s="328">
        <v>31896.03</v>
      </c>
      <c r="G495" s="340">
        <v>2</v>
      </c>
      <c r="H495" s="188">
        <f>+G495*F495</f>
        <v>63792.06</v>
      </c>
      <c r="I495" s="192"/>
      <c r="J495" s="68"/>
      <c r="K495" s="266"/>
      <c r="L495" s="266"/>
    </row>
    <row r="496" spans="1:12" s="76" customFormat="1" x14ac:dyDescent="0.2">
      <c r="A496" s="213"/>
      <c r="B496" s="180"/>
      <c r="C496" s="53"/>
      <c r="D496" s="64" t="s">
        <v>139</v>
      </c>
      <c r="E496" s="252" t="s">
        <v>111</v>
      </c>
      <c r="F496" s="333">
        <f>+G490+G491+G495</f>
        <v>4.5</v>
      </c>
      <c r="G496" s="187" t="s">
        <v>130</v>
      </c>
      <c r="H496" s="188">
        <f>SUM(H490:H495)</f>
        <v>236090.72999999998</v>
      </c>
      <c r="I496" s="185"/>
      <c r="J496" s="68"/>
      <c r="K496" s="266"/>
      <c r="L496" s="266"/>
    </row>
    <row r="497" spans="1:12" s="76" customFormat="1" x14ac:dyDescent="0.2">
      <c r="A497" s="213"/>
      <c r="B497" s="177"/>
      <c r="C497" s="53"/>
      <c r="D497" s="93" t="s">
        <v>129</v>
      </c>
      <c r="E497" s="326" t="s">
        <v>111</v>
      </c>
      <c r="F497" s="328"/>
      <c r="G497" s="343"/>
      <c r="H497" s="188">
        <f>H496*8.33%</f>
        <v>19666.357808999997</v>
      </c>
      <c r="I497" s="189"/>
      <c r="J497" s="179"/>
      <c r="K497" s="266"/>
      <c r="L497" s="266"/>
    </row>
    <row r="498" spans="1:12" s="76" customFormat="1" x14ac:dyDescent="0.2">
      <c r="A498" s="213"/>
      <c r="B498" s="177"/>
      <c r="C498" s="53"/>
      <c r="D498" s="361" t="s">
        <v>257</v>
      </c>
      <c r="E498" s="328"/>
      <c r="F498" s="328"/>
      <c r="G498" s="331"/>
      <c r="H498" s="188">
        <f>H496*7%</f>
        <v>16526.3511</v>
      </c>
      <c r="I498" s="190">
        <v>0</v>
      </c>
      <c r="J498" s="79">
        <f>+(H496+H497+H498)*C489</f>
        <v>544566.87781800004</v>
      </c>
      <c r="K498" s="266"/>
      <c r="L498" s="266"/>
    </row>
    <row r="499" spans="1:12" s="76" customFormat="1" x14ac:dyDescent="0.2">
      <c r="A499" s="213"/>
      <c r="B499" s="160"/>
      <c r="C499" s="53"/>
      <c r="D499" s="80"/>
      <c r="E499" s="7"/>
      <c r="F499" s="333"/>
      <c r="G499" s="334"/>
      <c r="H499" s="335"/>
      <c r="I499" s="192"/>
      <c r="J499" s="68"/>
      <c r="K499" s="266"/>
      <c r="L499" s="266"/>
    </row>
    <row r="500" spans="1:12" s="76" customFormat="1" ht="15" customHeight="1" x14ac:dyDescent="0.2">
      <c r="A500" s="213"/>
      <c r="B500" s="159"/>
      <c r="C500" s="13">
        <v>1</v>
      </c>
      <c r="D500" s="198" t="s">
        <v>359</v>
      </c>
      <c r="E500" s="17">
        <v>34472.22</v>
      </c>
      <c r="F500" s="333"/>
      <c r="G500" s="349"/>
      <c r="H500" s="338"/>
      <c r="I500" s="193"/>
      <c r="J500" s="117"/>
      <c r="K500" s="266"/>
      <c r="L500" s="266"/>
    </row>
    <row r="501" spans="1:12" s="76" customFormat="1" x14ac:dyDescent="0.2">
      <c r="A501" s="213"/>
      <c r="B501" s="180"/>
      <c r="C501" s="53"/>
      <c r="D501" s="64" t="s">
        <v>84</v>
      </c>
      <c r="E501" s="249" t="s">
        <v>145</v>
      </c>
      <c r="F501" s="328">
        <v>34472.22</v>
      </c>
      <c r="G501" s="340">
        <v>0</v>
      </c>
      <c r="H501" s="188">
        <f>+G501*F501</f>
        <v>0</v>
      </c>
      <c r="I501" s="192"/>
      <c r="J501" s="68"/>
      <c r="K501" s="266"/>
      <c r="L501" s="266"/>
    </row>
    <row r="502" spans="1:12" s="76" customFormat="1" x14ac:dyDescent="0.2">
      <c r="A502" s="213"/>
      <c r="B502" s="180"/>
      <c r="C502" s="53"/>
      <c r="D502" s="64" t="s">
        <v>78</v>
      </c>
      <c r="E502" s="250" t="s">
        <v>145</v>
      </c>
      <c r="F502" s="328">
        <v>34472.22</v>
      </c>
      <c r="G502" s="340">
        <v>2.5</v>
      </c>
      <c r="H502" s="188">
        <f>+G502*F502</f>
        <v>86180.55</v>
      </c>
      <c r="I502" s="192"/>
      <c r="J502" s="68"/>
      <c r="K502" s="266"/>
      <c r="L502" s="266"/>
    </row>
    <row r="503" spans="1:12" s="76" customFormat="1" x14ac:dyDescent="0.2">
      <c r="A503" s="213"/>
      <c r="B503" s="180"/>
      <c r="C503" s="53"/>
      <c r="D503" s="64" t="s">
        <v>140</v>
      </c>
      <c r="E503" s="342">
        <f>22*3</f>
        <v>66</v>
      </c>
      <c r="F503" s="328">
        <v>289.95999999999998</v>
      </c>
      <c r="G503" s="340">
        <f>+F507</f>
        <v>4.5</v>
      </c>
      <c r="H503" s="188">
        <f>+G503*F503*E503</f>
        <v>86118.12</v>
      </c>
      <c r="I503" s="192"/>
      <c r="J503" s="68"/>
      <c r="K503" s="266"/>
      <c r="L503" s="266"/>
    </row>
    <row r="504" spans="1:12" s="76" customFormat="1" x14ac:dyDescent="0.2">
      <c r="A504" s="213"/>
      <c r="B504" s="180"/>
      <c r="C504" s="53"/>
      <c r="D504" s="64" t="s">
        <v>14</v>
      </c>
      <c r="E504" s="252" t="s">
        <v>113</v>
      </c>
      <c r="F504" s="328">
        <v>0</v>
      </c>
      <c r="G504" s="188">
        <f>$H$3</f>
        <v>50</v>
      </c>
      <c r="H504" s="188">
        <f>+G504*F504</f>
        <v>0</v>
      </c>
      <c r="I504" s="192"/>
      <c r="J504" s="68"/>
      <c r="K504" s="266"/>
      <c r="L504" s="266"/>
    </row>
    <row r="505" spans="1:12" s="76" customFormat="1" x14ac:dyDescent="0.2">
      <c r="A505" s="213"/>
      <c r="B505" s="180"/>
      <c r="C505" s="53"/>
      <c r="D505" s="64" t="s">
        <v>16</v>
      </c>
      <c r="E505" s="252" t="s">
        <v>113</v>
      </c>
      <c r="F505" s="328">
        <v>0</v>
      </c>
      <c r="G505" s="188">
        <f>$H$4</f>
        <v>40</v>
      </c>
      <c r="H505" s="188">
        <f>+G505*F505</f>
        <v>0</v>
      </c>
      <c r="I505" s="192"/>
      <c r="J505" s="68"/>
      <c r="K505" s="266"/>
      <c r="L505" s="266"/>
    </row>
    <row r="506" spans="1:12" s="76" customFormat="1" x14ac:dyDescent="0.2">
      <c r="A506" s="213"/>
      <c r="B506" s="180"/>
      <c r="C506" s="53"/>
      <c r="D506" s="64" t="s">
        <v>13</v>
      </c>
      <c r="E506" s="250" t="s">
        <v>146</v>
      </c>
      <c r="F506" s="328">
        <v>31896.03</v>
      </c>
      <c r="G506" s="340">
        <v>2</v>
      </c>
      <c r="H506" s="188">
        <f>+G506*F506</f>
        <v>63792.06</v>
      </c>
      <c r="I506" s="192"/>
      <c r="J506" s="68"/>
      <c r="K506" s="266"/>
      <c r="L506" s="266"/>
    </row>
    <row r="507" spans="1:12" s="76" customFormat="1" x14ac:dyDescent="0.2">
      <c r="A507" s="213"/>
      <c r="B507" s="180"/>
      <c r="C507" s="53"/>
      <c r="D507" s="64" t="s">
        <v>139</v>
      </c>
      <c r="E507" s="252" t="s">
        <v>111</v>
      </c>
      <c r="F507" s="333">
        <f>+G501+G502+G506</f>
        <v>4.5</v>
      </c>
      <c r="G507" s="187" t="s">
        <v>130</v>
      </c>
      <c r="H507" s="188">
        <f>SUM(H501:H506)</f>
        <v>236090.72999999998</v>
      </c>
      <c r="I507" s="185"/>
      <c r="J507" s="68"/>
      <c r="K507" s="266"/>
      <c r="L507" s="266"/>
    </row>
    <row r="508" spans="1:12" s="76" customFormat="1" x14ac:dyDescent="0.2">
      <c r="A508" s="213"/>
      <c r="B508" s="180"/>
      <c r="C508" s="53"/>
      <c r="D508" s="93" t="s">
        <v>129</v>
      </c>
      <c r="E508" s="326" t="s">
        <v>111</v>
      </c>
      <c r="F508" s="328"/>
      <c r="G508" s="343"/>
      <c r="H508" s="188">
        <f>H507*8.33%</f>
        <v>19666.357808999997</v>
      </c>
      <c r="I508" s="189"/>
      <c r="J508" s="179"/>
      <c r="K508" s="266"/>
      <c r="L508" s="266"/>
    </row>
    <row r="509" spans="1:12" s="76" customFormat="1" x14ac:dyDescent="0.2">
      <c r="A509" s="213"/>
      <c r="B509" s="180"/>
      <c r="C509" s="53"/>
      <c r="D509" s="361" t="s">
        <v>257</v>
      </c>
      <c r="E509" s="328"/>
      <c r="F509" s="328"/>
      <c r="G509" s="331"/>
      <c r="H509" s="188">
        <f>H507*7%</f>
        <v>16526.3511</v>
      </c>
      <c r="I509" s="190">
        <v>0</v>
      </c>
      <c r="J509" s="79">
        <f>+(H507+H508+H509)*C500</f>
        <v>272283.43890900002</v>
      </c>
      <c r="K509" s="266"/>
      <c r="L509" s="266"/>
    </row>
    <row r="510" spans="1:12" s="76" customFormat="1" ht="18.75" customHeight="1" x14ac:dyDescent="0.2">
      <c r="A510" s="213"/>
      <c r="B510" s="180"/>
      <c r="C510" s="145">
        <f>SUM(C477:C509)</f>
        <v>4</v>
      </c>
      <c r="D510" s="80"/>
      <c r="E510" s="7"/>
      <c r="F510" s="181"/>
      <c r="G510" s="191"/>
      <c r="H510" s="27"/>
      <c r="I510" s="192"/>
      <c r="J510" s="68"/>
      <c r="K510" s="266"/>
      <c r="L510" s="266"/>
    </row>
    <row r="511" spans="1:12" s="44" customFormat="1" ht="15" customHeight="1" x14ac:dyDescent="0.2">
      <c r="A511" s="211"/>
      <c r="B511" s="294"/>
      <c r="C511" s="259"/>
      <c r="D511" s="376"/>
      <c r="E511" s="85"/>
      <c r="F511" s="220"/>
      <c r="G511" s="220"/>
      <c r="H511" s="304"/>
      <c r="I511" s="46"/>
      <c r="J511" s="46"/>
      <c r="K511" s="266"/>
      <c r="L511" s="266"/>
    </row>
    <row r="512" spans="1:12" s="76" customFormat="1" ht="15" customHeight="1" x14ac:dyDescent="0.2">
      <c r="A512" s="302"/>
      <c r="B512" s="265"/>
      <c r="C512" s="13"/>
      <c r="D512" s="426" t="s">
        <v>293</v>
      </c>
      <c r="E512" s="81"/>
      <c r="F512" s="72"/>
      <c r="G512" s="73"/>
      <c r="H512" s="304"/>
      <c r="I512" s="46"/>
      <c r="J512" s="46"/>
      <c r="K512" s="266"/>
      <c r="L512" s="266"/>
    </row>
    <row r="513" spans="1:12" s="76" customFormat="1" ht="15" customHeight="1" x14ac:dyDescent="0.2">
      <c r="A513" s="302"/>
      <c r="B513" s="265"/>
      <c r="C513" s="13">
        <v>1</v>
      </c>
      <c r="D513" s="374" t="s">
        <v>294</v>
      </c>
      <c r="E513" s="17"/>
      <c r="F513" s="181"/>
      <c r="G513" s="29"/>
      <c r="H513" s="182"/>
      <c r="I513" s="193"/>
      <c r="J513" s="117"/>
      <c r="K513" s="266"/>
      <c r="L513" s="266"/>
    </row>
    <row r="514" spans="1:12" s="76" customFormat="1" x14ac:dyDescent="0.2">
      <c r="A514" s="302"/>
      <c r="B514" s="320"/>
      <c r="C514" s="53"/>
      <c r="D514" s="64" t="s">
        <v>84</v>
      </c>
      <c r="E514" s="249" t="s">
        <v>145</v>
      </c>
      <c r="F514" s="184">
        <v>37371.11</v>
      </c>
      <c r="G514" s="52">
        <v>2</v>
      </c>
      <c r="H514" s="24">
        <f>+G514*F514</f>
        <v>74742.22</v>
      </c>
      <c r="I514" s="192"/>
      <c r="J514" s="68"/>
      <c r="K514" s="266"/>
      <c r="L514" s="266"/>
    </row>
    <row r="515" spans="1:12" s="76" customFormat="1" x14ac:dyDescent="0.2">
      <c r="A515" s="302"/>
      <c r="B515" s="320"/>
      <c r="C515" s="53"/>
      <c r="D515" s="64" t="s">
        <v>78</v>
      </c>
      <c r="E515" s="250" t="s">
        <v>145</v>
      </c>
      <c r="F515" s="184">
        <v>37371.11</v>
      </c>
      <c r="G515" s="52">
        <v>2.5</v>
      </c>
      <c r="H515" s="24">
        <f>+G515*F515</f>
        <v>93427.774999999994</v>
      </c>
      <c r="I515" s="192"/>
      <c r="J515" s="68"/>
      <c r="K515" s="266"/>
      <c r="L515" s="266"/>
    </row>
    <row r="516" spans="1:12" s="76" customFormat="1" x14ac:dyDescent="0.2">
      <c r="A516" s="302"/>
      <c r="B516" s="320"/>
      <c r="C516" s="53"/>
      <c r="D516" s="64" t="s">
        <v>140</v>
      </c>
      <c r="E516" s="342"/>
      <c r="F516" s="328">
        <v>339.73</v>
      </c>
      <c r="G516" s="340">
        <f>+F520</f>
        <v>6.5</v>
      </c>
      <c r="H516" s="188">
        <f>+G516*F516*E516</f>
        <v>0</v>
      </c>
      <c r="I516" s="192"/>
      <c r="J516" s="68"/>
      <c r="K516" s="266"/>
      <c r="L516" s="266"/>
    </row>
    <row r="517" spans="1:12" s="76" customFormat="1" x14ac:dyDescent="0.2">
      <c r="A517" s="302"/>
      <c r="B517" s="320"/>
      <c r="C517" s="53"/>
      <c r="D517" s="64" t="s">
        <v>14</v>
      </c>
      <c r="E517" s="252" t="s">
        <v>113</v>
      </c>
      <c r="F517" s="328">
        <v>0</v>
      </c>
      <c r="G517" s="188">
        <f>$H$3</f>
        <v>50</v>
      </c>
      <c r="H517" s="188">
        <f>+G517*F517</f>
        <v>0</v>
      </c>
      <c r="I517" s="192"/>
      <c r="J517" s="68"/>
      <c r="K517" s="266"/>
      <c r="L517" s="266"/>
    </row>
    <row r="518" spans="1:12" s="76" customFormat="1" x14ac:dyDescent="0.2">
      <c r="A518" s="302"/>
      <c r="B518" s="320"/>
      <c r="C518" s="53"/>
      <c r="D518" s="64" t="s">
        <v>16</v>
      </c>
      <c r="E518" s="252" t="s">
        <v>113</v>
      </c>
      <c r="F518" s="328">
        <v>0</v>
      </c>
      <c r="G518" s="188">
        <f>$H$4</f>
        <v>40</v>
      </c>
      <c r="H518" s="188">
        <f>+G518*F518</f>
        <v>0</v>
      </c>
      <c r="I518" s="192"/>
      <c r="J518" s="68"/>
      <c r="K518" s="266"/>
      <c r="L518" s="266"/>
    </row>
    <row r="519" spans="1:12" s="76" customFormat="1" x14ac:dyDescent="0.2">
      <c r="A519" s="302"/>
      <c r="B519" s="320"/>
      <c r="C519" s="53"/>
      <c r="D519" s="64" t="s">
        <v>13</v>
      </c>
      <c r="E519" s="250" t="s">
        <v>146</v>
      </c>
      <c r="F519" s="461">
        <v>37371.11</v>
      </c>
      <c r="G519" s="340">
        <v>2</v>
      </c>
      <c r="H519" s="188">
        <f>+G519*F519</f>
        <v>74742.22</v>
      </c>
      <c r="I519" s="192"/>
      <c r="J519" s="68"/>
      <c r="K519" s="266"/>
      <c r="L519" s="266"/>
    </row>
    <row r="520" spans="1:12" s="76" customFormat="1" x14ac:dyDescent="0.2">
      <c r="A520" s="302"/>
      <c r="B520" s="320"/>
      <c r="C520" s="53"/>
      <c r="D520" s="64" t="s">
        <v>139</v>
      </c>
      <c r="E520" s="252" t="s">
        <v>111</v>
      </c>
      <c r="F520" s="333">
        <f>+G514+G515+G519</f>
        <v>6.5</v>
      </c>
      <c r="G520" s="187" t="s">
        <v>130</v>
      </c>
      <c r="H520" s="188">
        <f>SUM(H514:H519)</f>
        <v>242912.215</v>
      </c>
      <c r="I520" s="185"/>
      <c r="J520" s="68"/>
      <c r="K520" s="266"/>
      <c r="L520" s="266"/>
    </row>
    <row r="521" spans="1:12" s="76" customFormat="1" x14ac:dyDescent="0.2">
      <c r="A521" s="302"/>
      <c r="B521" s="320"/>
      <c r="C521" s="53"/>
      <c r="D521" s="93" t="s">
        <v>129</v>
      </c>
      <c r="E521" s="326" t="s">
        <v>111</v>
      </c>
      <c r="F521" s="328"/>
      <c r="G521" s="343"/>
      <c r="H521" s="188">
        <f>H520*8.33%</f>
        <v>20234.587509500001</v>
      </c>
      <c r="I521" s="189"/>
      <c r="J521" s="179"/>
      <c r="K521" s="266"/>
      <c r="L521" s="266"/>
    </row>
    <row r="522" spans="1:12" s="76" customFormat="1" x14ac:dyDescent="0.2">
      <c r="A522" s="302"/>
      <c r="B522" s="320"/>
      <c r="C522" s="53"/>
      <c r="D522" s="361" t="s">
        <v>257</v>
      </c>
      <c r="E522" s="328"/>
      <c r="F522" s="328"/>
      <c r="G522" s="331"/>
      <c r="H522" s="188">
        <f>H520*7%</f>
        <v>17003.855050000002</v>
      </c>
      <c r="I522" s="190">
        <v>0</v>
      </c>
      <c r="J522" s="79">
        <f>+(H520+H521+H522)*C513</f>
        <v>280150.65755950002</v>
      </c>
      <c r="K522" s="266"/>
      <c r="L522" s="266"/>
    </row>
    <row r="523" spans="1:12" s="76" customFormat="1" x14ac:dyDescent="0.2">
      <c r="A523" s="302"/>
      <c r="B523" s="320"/>
      <c r="C523" s="53"/>
      <c r="D523" s="80"/>
      <c r="E523" s="7"/>
      <c r="F523" s="333"/>
      <c r="G523" s="334"/>
      <c r="H523" s="335"/>
      <c r="I523" s="192"/>
      <c r="J523" s="68"/>
      <c r="K523" s="266"/>
      <c r="L523" s="266"/>
    </row>
    <row r="524" spans="1:12" s="76" customFormat="1" ht="15" customHeight="1" x14ac:dyDescent="0.2">
      <c r="A524" s="302"/>
      <c r="B524" s="265"/>
      <c r="C524" s="13">
        <v>1</v>
      </c>
      <c r="D524" s="374" t="s">
        <v>295</v>
      </c>
      <c r="E524" s="17"/>
      <c r="F524" s="181"/>
      <c r="G524" s="29"/>
      <c r="H524" s="182"/>
      <c r="I524" s="193"/>
      <c r="J524" s="117"/>
      <c r="K524" s="266"/>
      <c r="L524" s="266"/>
    </row>
    <row r="525" spans="1:12" s="76" customFormat="1" x14ac:dyDescent="0.2">
      <c r="A525" s="302"/>
      <c r="B525" s="320"/>
      <c r="C525" s="53"/>
      <c r="D525" s="64" t="s">
        <v>84</v>
      </c>
      <c r="E525" s="249" t="s">
        <v>145</v>
      </c>
      <c r="F525" s="184">
        <v>31896.03</v>
      </c>
      <c r="G525" s="52">
        <v>0.5</v>
      </c>
      <c r="H525" s="24">
        <f>+G525*F525</f>
        <v>15948.014999999999</v>
      </c>
      <c r="I525" s="192"/>
      <c r="J525" s="68"/>
      <c r="K525" s="266"/>
      <c r="L525" s="266"/>
    </row>
    <row r="526" spans="1:12" s="76" customFormat="1" x14ac:dyDescent="0.2">
      <c r="A526" s="302"/>
      <c r="B526" s="320"/>
      <c r="C526" s="53"/>
      <c r="D526" s="64" t="s">
        <v>78</v>
      </c>
      <c r="E526" s="250" t="s">
        <v>145</v>
      </c>
      <c r="F526" s="184">
        <v>31896.03</v>
      </c>
      <c r="G526" s="52">
        <v>2.5</v>
      </c>
      <c r="H526" s="24">
        <f>+G526*F526</f>
        <v>79740.074999999997</v>
      </c>
      <c r="I526" s="192"/>
      <c r="J526" s="68"/>
      <c r="K526" s="266"/>
      <c r="L526" s="266"/>
    </row>
    <row r="527" spans="1:12" s="76" customFormat="1" x14ac:dyDescent="0.2">
      <c r="A527" s="302"/>
      <c r="B527" s="320"/>
      <c r="C527" s="53"/>
      <c r="D527" s="64" t="s">
        <v>140</v>
      </c>
      <c r="E527" s="342">
        <v>0</v>
      </c>
      <c r="F527" s="328">
        <v>289.95999999999998</v>
      </c>
      <c r="G527" s="340">
        <f>+F531</f>
        <v>4</v>
      </c>
      <c r="H527" s="188">
        <f>+G527*F527*E527</f>
        <v>0</v>
      </c>
      <c r="I527" s="192"/>
      <c r="J527" s="68"/>
      <c r="K527" s="266"/>
      <c r="L527" s="266"/>
    </row>
    <row r="528" spans="1:12" s="76" customFormat="1" x14ac:dyDescent="0.2">
      <c r="A528" s="302"/>
      <c r="B528" s="320"/>
      <c r="C528" s="53"/>
      <c r="D528" s="64" t="s">
        <v>14</v>
      </c>
      <c r="E528" s="252" t="s">
        <v>113</v>
      </c>
      <c r="F528" s="328">
        <v>0</v>
      </c>
      <c r="G528" s="188">
        <f>$H$3</f>
        <v>50</v>
      </c>
      <c r="H528" s="188">
        <f>+G528*F528</f>
        <v>0</v>
      </c>
      <c r="I528" s="192"/>
      <c r="J528" s="68"/>
      <c r="K528" s="266"/>
      <c r="L528" s="266"/>
    </row>
    <row r="529" spans="1:12" s="76" customFormat="1" x14ac:dyDescent="0.2">
      <c r="A529" s="302"/>
      <c r="B529" s="320"/>
      <c r="C529" s="53"/>
      <c r="D529" s="64" t="s">
        <v>16</v>
      </c>
      <c r="E529" s="252" t="s">
        <v>113</v>
      </c>
      <c r="F529" s="328">
        <v>0</v>
      </c>
      <c r="G529" s="188">
        <f>$H$4</f>
        <v>40</v>
      </c>
      <c r="H529" s="188">
        <f>+G529*F529</f>
        <v>0</v>
      </c>
      <c r="I529" s="192"/>
      <c r="J529" s="68"/>
      <c r="K529" s="266"/>
      <c r="L529" s="266"/>
    </row>
    <row r="530" spans="1:12" s="76" customFormat="1" x14ac:dyDescent="0.2">
      <c r="A530" s="302"/>
      <c r="B530" s="320"/>
      <c r="C530" s="53"/>
      <c r="D530" s="64" t="s">
        <v>13</v>
      </c>
      <c r="E530" s="250" t="s">
        <v>146</v>
      </c>
      <c r="F530" s="328">
        <v>31896.03</v>
      </c>
      <c r="G530" s="340">
        <v>1</v>
      </c>
      <c r="H530" s="188">
        <f>+G530*F530</f>
        <v>31896.03</v>
      </c>
      <c r="I530" s="192"/>
      <c r="J530" s="68"/>
      <c r="K530" s="266"/>
      <c r="L530" s="266"/>
    </row>
    <row r="531" spans="1:12" s="76" customFormat="1" x14ac:dyDescent="0.2">
      <c r="A531" s="302"/>
      <c r="B531" s="320"/>
      <c r="C531" s="53"/>
      <c r="D531" s="64" t="s">
        <v>139</v>
      </c>
      <c r="E531" s="252" t="s">
        <v>111</v>
      </c>
      <c r="F531" s="333">
        <f>+G525+G526+G530</f>
        <v>4</v>
      </c>
      <c r="G531" s="187" t="s">
        <v>130</v>
      </c>
      <c r="H531" s="188">
        <f>SUM(H525:H530)</f>
        <v>127584.12</v>
      </c>
      <c r="I531" s="185"/>
      <c r="J531" s="68"/>
      <c r="K531" s="266"/>
      <c r="L531" s="266"/>
    </row>
    <row r="532" spans="1:12" s="76" customFormat="1" x14ac:dyDescent="0.2">
      <c r="A532" s="302"/>
      <c r="B532" s="320"/>
      <c r="C532" s="53"/>
      <c r="D532" s="93" t="s">
        <v>129</v>
      </c>
      <c r="E532" s="326" t="s">
        <v>111</v>
      </c>
      <c r="F532" s="328"/>
      <c r="G532" s="343"/>
      <c r="H532" s="188">
        <f>H531*8.33%</f>
        <v>10627.757195999999</v>
      </c>
      <c r="I532" s="189"/>
      <c r="J532" s="179"/>
      <c r="K532" s="266"/>
      <c r="L532" s="266"/>
    </row>
    <row r="533" spans="1:12" s="76" customFormat="1" x14ac:dyDescent="0.2">
      <c r="A533" s="302"/>
      <c r="B533" s="320"/>
      <c r="C533" s="53"/>
      <c r="D533" s="361" t="s">
        <v>257</v>
      </c>
      <c r="E533" s="328"/>
      <c r="F533" s="328"/>
      <c r="G533" s="331"/>
      <c r="H533" s="188">
        <f>H531*7%</f>
        <v>8930.8883999999998</v>
      </c>
      <c r="I533" s="190">
        <v>0</v>
      </c>
      <c r="J533" s="79">
        <f>+(H531+H532+H533)*C524</f>
        <v>147142.76559599998</v>
      </c>
      <c r="K533" s="266"/>
      <c r="L533" s="266"/>
    </row>
    <row r="534" spans="1:12" s="76" customFormat="1" x14ac:dyDescent="0.2">
      <c r="A534" s="302"/>
      <c r="B534" s="320"/>
      <c r="C534" s="53"/>
      <c r="D534" s="80"/>
      <c r="E534" s="7"/>
      <c r="F534" s="333"/>
      <c r="G534" s="334"/>
      <c r="H534" s="335"/>
      <c r="I534" s="192"/>
      <c r="J534" s="68"/>
      <c r="K534" s="266"/>
      <c r="L534" s="266"/>
    </row>
    <row r="535" spans="1:12" s="44" customFormat="1" ht="21.95" customHeight="1" x14ac:dyDescent="0.2">
      <c r="A535" s="211"/>
      <c r="B535" s="156"/>
      <c r="C535" s="145">
        <f>SUM(C512:C534)</f>
        <v>2</v>
      </c>
      <c r="D535" s="111"/>
      <c r="E535" s="85"/>
      <c r="F535" s="473" t="s">
        <v>193</v>
      </c>
      <c r="G535" s="474"/>
      <c r="H535" s="274">
        <f>SUM(J98:J533)</f>
        <v>11405432.858451502</v>
      </c>
      <c r="I535" s="275">
        <f>SUM(I109:I510)</f>
        <v>0</v>
      </c>
      <c r="J535" s="275">
        <f>SUM(J96:J534)</f>
        <v>11405432.858451502</v>
      </c>
      <c r="K535" s="266"/>
      <c r="L535" s="266"/>
    </row>
    <row r="536" spans="1:12" s="427" customFormat="1" ht="21.95" customHeight="1" x14ac:dyDescent="0.2">
      <c r="B536" s="428"/>
      <c r="C536" s="429"/>
      <c r="D536" s="277"/>
      <c r="E536" s="278"/>
      <c r="F536" s="276"/>
      <c r="G536" s="276"/>
      <c r="H536" s="279"/>
      <c r="I536" s="279"/>
      <c r="J536" s="279"/>
      <c r="K536" s="266"/>
      <c r="L536" s="266"/>
    </row>
    <row r="537" spans="1:12" s="44" customFormat="1" ht="23.1" customHeight="1" x14ac:dyDescent="0.2">
      <c r="A537" s="211"/>
      <c r="B537" s="258"/>
      <c r="C537" s="145">
        <f>SUM(C535+C475+C142+C510)</f>
        <v>45</v>
      </c>
      <c r="D537" s="111"/>
      <c r="E537" s="85"/>
      <c r="F537" s="220"/>
      <c r="G537" s="220"/>
      <c r="H537" s="221"/>
      <c r="I537" s="221"/>
      <c r="J537" s="221"/>
      <c r="K537" s="266"/>
      <c r="L537" s="266"/>
    </row>
    <row r="538" spans="1:12" s="76" customFormat="1" ht="15" customHeight="1" x14ac:dyDescent="0.2">
      <c r="A538" s="213"/>
      <c r="B538" s="159"/>
      <c r="C538" s="13"/>
      <c r="D538" s="199" t="s">
        <v>167</v>
      </c>
      <c r="E538" s="301"/>
      <c r="F538" s="296"/>
      <c r="G538" s="297"/>
      <c r="H538" s="298"/>
      <c r="I538" s="299"/>
      <c r="J538" s="300"/>
      <c r="K538" s="266"/>
      <c r="L538" s="266"/>
    </row>
    <row r="539" spans="1:12" s="76" customFormat="1" x14ac:dyDescent="0.2">
      <c r="A539" s="213"/>
      <c r="B539" s="180"/>
      <c r="C539" s="53"/>
      <c r="D539" s="64" t="s">
        <v>168</v>
      </c>
      <c r="E539" s="250" t="s">
        <v>59</v>
      </c>
      <c r="F539" s="184">
        <v>289.08</v>
      </c>
      <c r="G539" s="52"/>
      <c r="H539" s="24"/>
      <c r="I539" s="192"/>
      <c r="J539" s="68"/>
      <c r="K539" s="266"/>
      <c r="L539" s="266"/>
    </row>
    <row r="540" spans="1:12" s="76" customFormat="1" x14ac:dyDescent="0.2">
      <c r="A540" s="213"/>
      <c r="B540" s="180"/>
      <c r="C540" s="53"/>
      <c r="D540" s="64" t="s">
        <v>169</v>
      </c>
      <c r="E540" s="250" t="s">
        <v>165</v>
      </c>
      <c r="F540" s="184">
        <v>214.3</v>
      </c>
      <c r="G540" s="52">
        <f>F105+F116+F127+F138+F152+F163*C156+F174+F185+F196+F207+F218+F229+F240*2+F251*C244+F262+F273+F284+F295+F306*2+F317+F328+F339+F350+F361+F372+F383+F394+F405+F416+F427+F438+F449+F460+F471*C464+F485+F496*C489+F507</f>
        <v>147.44999999999999</v>
      </c>
      <c r="H540" s="24">
        <f>+G540*F540*22</f>
        <v>695167.77</v>
      </c>
      <c r="I540" s="192"/>
      <c r="J540" s="68"/>
      <c r="K540" s="266"/>
      <c r="L540" s="266"/>
    </row>
    <row r="541" spans="1:12" s="76" customFormat="1" x14ac:dyDescent="0.2">
      <c r="A541" s="213"/>
      <c r="B541" s="180"/>
      <c r="C541" s="53"/>
      <c r="D541" s="64" t="s">
        <v>170</v>
      </c>
      <c r="E541" s="251" t="s">
        <v>165</v>
      </c>
      <c r="F541" s="184">
        <v>70.739999999999995</v>
      </c>
      <c r="G541" s="52"/>
      <c r="H541" s="24"/>
      <c r="I541" s="192"/>
      <c r="J541" s="68"/>
      <c r="K541" s="266"/>
      <c r="L541" s="266"/>
    </row>
    <row r="542" spans="1:12" s="76" customFormat="1" x14ac:dyDescent="0.2">
      <c r="A542" s="213"/>
      <c r="B542" s="180"/>
      <c r="C542" s="53"/>
      <c r="D542" s="64" t="s">
        <v>171</v>
      </c>
      <c r="E542" s="252" t="s">
        <v>165</v>
      </c>
      <c r="F542" s="184">
        <v>266.89999999999998</v>
      </c>
      <c r="G542" s="52">
        <f>+F542*22</f>
        <v>5871.7999999999993</v>
      </c>
      <c r="H542" s="24">
        <f>+G542*3*C475</f>
        <v>616538.99999999988</v>
      </c>
      <c r="I542" s="192"/>
      <c r="J542" s="68"/>
      <c r="K542" s="266"/>
      <c r="L542" s="266"/>
    </row>
    <row r="543" spans="1:12" s="76" customFormat="1" x14ac:dyDescent="0.2">
      <c r="A543" s="213"/>
      <c r="B543" s="180"/>
      <c r="C543" s="53"/>
      <c r="D543" s="64" t="s">
        <v>172</v>
      </c>
      <c r="E543" s="252" t="s">
        <v>59</v>
      </c>
      <c r="F543" s="184">
        <v>70.739999999999995</v>
      </c>
      <c r="G543" s="24"/>
      <c r="H543" s="24"/>
      <c r="I543" s="192"/>
      <c r="J543" s="68"/>
      <c r="K543" s="266"/>
      <c r="L543" s="266"/>
    </row>
    <row r="544" spans="1:12" s="76" customFormat="1" x14ac:dyDescent="0.2">
      <c r="A544" s="213"/>
      <c r="B544" s="180"/>
      <c r="C544" s="53"/>
      <c r="D544" s="64" t="s">
        <v>173</v>
      </c>
      <c r="E544" s="250" t="s">
        <v>59</v>
      </c>
      <c r="F544" s="184"/>
      <c r="G544" s="52"/>
      <c r="H544" s="24"/>
      <c r="I544" s="192"/>
      <c r="J544" s="68"/>
      <c r="K544" s="266"/>
      <c r="L544" s="266"/>
    </row>
    <row r="545" spans="1:12" s="76" customFormat="1" x14ac:dyDescent="0.2">
      <c r="A545" s="213"/>
      <c r="B545" s="180"/>
      <c r="C545" s="53"/>
      <c r="D545" s="64" t="s">
        <v>174</v>
      </c>
      <c r="E545" s="252" t="s">
        <v>176</v>
      </c>
      <c r="F545" s="181">
        <v>6116.19</v>
      </c>
      <c r="G545" s="187">
        <f>+C537</f>
        <v>45</v>
      </c>
      <c r="H545" s="188">
        <f>+F545*G545</f>
        <v>275228.55</v>
      </c>
      <c r="I545" s="185"/>
      <c r="J545" s="68"/>
      <c r="K545" s="266"/>
      <c r="L545" s="266"/>
    </row>
    <row r="546" spans="1:12" s="76" customFormat="1" x14ac:dyDescent="0.2">
      <c r="A546" s="213"/>
      <c r="B546" s="180"/>
      <c r="C546" s="53"/>
      <c r="D546" s="463" t="s">
        <v>129</v>
      </c>
      <c r="E546" s="252" t="s">
        <v>176</v>
      </c>
      <c r="F546" s="184"/>
      <c r="G546" s="187">
        <f>+C537</f>
        <v>45</v>
      </c>
      <c r="H546" s="24">
        <f>+H540/4*0.5+H542/2.5*0.5+H547/4*0.5</f>
        <v>258467.52124999999</v>
      </c>
      <c r="I546" s="189"/>
      <c r="J546" s="179"/>
      <c r="K546" s="266"/>
      <c r="L546" s="266"/>
    </row>
    <row r="547" spans="1:12" s="76" customFormat="1" x14ac:dyDescent="0.2">
      <c r="A547" s="213"/>
      <c r="B547" s="180"/>
      <c r="C547" s="53"/>
      <c r="D547" s="375" t="s">
        <v>263</v>
      </c>
      <c r="E547" s="377" t="s">
        <v>262</v>
      </c>
      <c r="F547" s="184">
        <v>386.11</v>
      </c>
      <c r="G547" s="268">
        <f>J3*2</f>
        <v>100</v>
      </c>
      <c r="H547" s="24">
        <f>+G547*F547*10</f>
        <v>386110</v>
      </c>
      <c r="I547" s="269">
        <v>0</v>
      </c>
      <c r="J547" s="270">
        <f>SUM(H539:H547)</f>
        <v>2231512.8412500001</v>
      </c>
      <c r="K547" s="266"/>
      <c r="L547" s="266"/>
    </row>
    <row r="548" spans="1:12" s="76" customFormat="1" x14ac:dyDescent="0.2">
      <c r="A548" s="213"/>
      <c r="B548" s="180"/>
      <c r="C548" s="53"/>
      <c r="D548" s="271"/>
      <c r="E548" s="17"/>
      <c r="F548" s="184"/>
      <c r="G548" s="175"/>
      <c r="H548" s="186"/>
      <c r="I548" s="190"/>
      <c r="J548" s="79"/>
      <c r="K548" s="266"/>
      <c r="L548" s="266"/>
    </row>
    <row r="549" spans="1:12" s="42" customFormat="1" ht="20.100000000000001" customHeight="1" x14ac:dyDescent="0.2">
      <c r="A549" s="207"/>
      <c r="B549" s="152"/>
      <c r="C549" s="170"/>
      <c r="D549" s="6"/>
      <c r="E549" s="7"/>
      <c r="F549" s="479" t="s">
        <v>192</v>
      </c>
      <c r="G549" s="479"/>
      <c r="H549" s="274">
        <f>SUM(H539:H548)</f>
        <v>2231512.8412500001</v>
      </c>
      <c r="I549" s="275">
        <f>SUM(I111:I548)</f>
        <v>0</v>
      </c>
      <c r="J549" s="275">
        <f>SUM(J539:J548)</f>
        <v>2231512.8412500001</v>
      </c>
      <c r="K549" s="266"/>
      <c r="L549" s="266"/>
    </row>
    <row r="550" spans="1:12" s="42" customFormat="1" ht="20.100000000000001" customHeight="1" x14ac:dyDescent="0.2">
      <c r="A550" s="207"/>
      <c r="B550" s="260"/>
      <c r="C550" s="170"/>
      <c r="D550" s="6"/>
      <c r="E550" s="7"/>
      <c r="F550" s="272"/>
      <c r="G550" s="272"/>
      <c r="H550" s="273"/>
      <c r="I550" s="273"/>
      <c r="J550" s="273"/>
      <c r="K550" s="266"/>
      <c r="L550" s="266"/>
    </row>
    <row r="551" spans="1:12" s="42" customFormat="1" ht="20.100000000000001" customHeight="1" x14ac:dyDescent="0.2">
      <c r="A551" s="207"/>
      <c r="B551" s="260"/>
      <c r="C551" s="170"/>
      <c r="D551" s="6"/>
      <c r="E551" s="7"/>
      <c r="F551" s="479" t="s">
        <v>80</v>
      </c>
      <c r="G551" s="479"/>
      <c r="H551" s="274">
        <f>+H549+H535</f>
        <v>13636945.699701503</v>
      </c>
      <c r="I551" s="275"/>
      <c r="J551" s="275">
        <f>+H551</f>
        <v>13636945.699701503</v>
      </c>
      <c r="K551" s="266"/>
      <c r="L551" s="266"/>
    </row>
    <row r="552" spans="1:12" s="42" customFormat="1" ht="30" customHeight="1" x14ac:dyDescent="0.2">
      <c r="A552" s="207"/>
      <c r="B552" s="260"/>
      <c r="C552" s="55"/>
      <c r="D552" s="6"/>
      <c r="E552" s="316"/>
      <c r="F552" s="317"/>
      <c r="G552" s="317"/>
      <c r="H552" s="318"/>
      <c r="I552" s="318"/>
      <c r="J552" s="318"/>
      <c r="K552" s="266"/>
      <c r="L552" s="266"/>
    </row>
    <row r="553" spans="1:12" s="44" customFormat="1" ht="15" customHeight="1" x14ac:dyDescent="0.2">
      <c r="A553" s="211"/>
      <c r="B553" s="158"/>
      <c r="C553" s="247">
        <v>5</v>
      </c>
      <c r="D553" s="378" t="s">
        <v>266</v>
      </c>
      <c r="E553" s="241" t="s">
        <v>74</v>
      </c>
      <c r="F553" s="242" t="s">
        <v>39</v>
      </c>
      <c r="G553" s="243" t="s">
        <v>40</v>
      </c>
      <c r="H553" s="240" t="s">
        <v>53</v>
      </c>
      <c r="I553" s="244" t="s">
        <v>55</v>
      </c>
      <c r="J553" s="244" t="s">
        <v>121</v>
      </c>
      <c r="K553" s="266"/>
      <c r="L553" s="266"/>
    </row>
    <row r="554" spans="1:12" s="63" customFormat="1" ht="15" customHeight="1" x14ac:dyDescent="0.2">
      <c r="A554" s="214"/>
      <c r="B554" s="205"/>
      <c r="C554" s="13">
        <v>1</v>
      </c>
      <c r="D554" s="199" t="s">
        <v>179</v>
      </c>
      <c r="E554" s="121"/>
      <c r="F554" s="83"/>
      <c r="G554" s="83"/>
      <c r="H554" s="127"/>
      <c r="I554" s="132"/>
      <c r="J554" s="122"/>
      <c r="K554" s="266"/>
      <c r="L554" s="266"/>
    </row>
    <row r="555" spans="1:12" s="45" customFormat="1" x14ac:dyDescent="0.2">
      <c r="A555" s="207"/>
      <c r="B555" s="155"/>
      <c r="C555" s="57"/>
      <c r="D555" s="458" t="s">
        <v>340</v>
      </c>
      <c r="E555" s="77" t="s">
        <v>206</v>
      </c>
      <c r="F555" s="49">
        <v>83104</v>
      </c>
      <c r="G555" s="11">
        <v>3</v>
      </c>
      <c r="H555" s="24">
        <f>+G555*F555*C554</f>
        <v>249312</v>
      </c>
      <c r="I555" s="134"/>
      <c r="J555" s="68"/>
      <c r="K555" s="266"/>
      <c r="L555" s="266"/>
    </row>
    <row r="556" spans="1:12" s="45" customFormat="1" x14ac:dyDescent="0.2">
      <c r="A556" s="207"/>
      <c r="B556" s="155"/>
      <c r="C556" s="57"/>
      <c r="D556" s="93" t="s">
        <v>129</v>
      </c>
      <c r="E556" s="326" t="s">
        <v>111</v>
      </c>
      <c r="F556" s="328"/>
      <c r="G556" s="343"/>
      <c r="H556" s="188">
        <f>H555*8.33%</f>
        <v>20767.689600000002</v>
      </c>
      <c r="I556" s="134"/>
      <c r="J556" s="68"/>
      <c r="K556" s="266"/>
      <c r="L556" s="266"/>
    </row>
    <row r="557" spans="1:12" s="45" customFormat="1" x14ac:dyDescent="0.2">
      <c r="A557" s="207"/>
      <c r="B557" s="253"/>
      <c r="C557" s="57"/>
      <c r="D557" s="361" t="s">
        <v>257</v>
      </c>
      <c r="E557" s="328"/>
      <c r="F557" s="328"/>
      <c r="G557" s="331"/>
      <c r="H557" s="188">
        <f>H555*7%</f>
        <v>17451.84</v>
      </c>
      <c r="I557" s="135"/>
      <c r="J557" s="69"/>
      <c r="K557" s="266"/>
      <c r="L557" s="266"/>
    </row>
    <row r="558" spans="1:12" s="45" customFormat="1" x14ac:dyDescent="0.2">
      <c r="A558" s="207"/>
      <c r="B558" s="155"/>
      <c r="C558" s="56"/>
      <c r="D558" s="64"/>
      <c r="E558" s="77" t="s">
        <v>111</v>
      </c>
      <c r="F558" s="24"/>
      <c r="G558" s="11">
        <f>SUM(G555:G557)</f>
        <v>3</v>
      </c>
      <c r="H558" s="24">
        <f>SUM(H555:H557)</f>
        <v>287531.52960000001</v>
      </c>
      <c r="I558" s="79">
        <v>0</v>
      </c>
      <c r="J558" s="79">
        <f>+H558*C554</f>
        <v>287531.52960000001</v>
      </c>
      <c r="K558" s="266"/>
      <c r="L558" s="266"/>
    </row>
    <row r="559" spans="1:12" s="63" customFormat="1" ht="15" customHeight="1" x14ac:dyDescent="0.2">
      <c r="A559" s="214"/>
      <c r="B559" s="161"/>
      <c r="C559" s="13">
        <v>6</v>
      </c>
      <c r="D559" s="199" t="s">
        <v>223</v>
      </c>
      <c r="E559" s="121"/>
      <c r="F559" s="83"/>
      <c r="G559" s="83"/>
      <c r="H559" s="127"/>
      <c r="I559" s="132"/>
      <c r="J559" s="122"/>
      <c r="K559" s="266"/>
      <c r="L559" s="266"/>
    </row>
    <row r="560" spans="1:12" s="45" customFormat="1" x14ac:dyDescent="0.2">
      <c r="A560" s="207"/>
      <c r="B560" s="155"/>
      <c r="C560" s="57"/>
      <c r="D560" s="64" t="s">
        <v>163</v>
      </c>
      <c r="E560" s="77" t="s">
        <v>206</v>
      </c>
      <c r="F560" s="24">
        <v>400000</v>
      </c>
      <c r="G560" s="11">
        <v>2</v>
      </c>
      <c r="H560" s="24">
        <f>+G560*F560</f>
        <v>800000</v>
      </c>
      <c r="I560" s="134"/>
      <c r="J560" s="68"/>
      <c r="K560" s="266"/>
      <c r="L560" s="266"/>
    </row>
    <row r="561" spans="1:12" s="45" customFormat="1" x14ac:dyDescent="0.2">
      <c r="A561" s="207"/>
      <c r="B561" s="155"/>
      <c r="C561" s="57"/>
      <c r="D561" s="64" t="s">
        <v>164</v>
      </c>
      <c r="E561" s="77" t="s">
        <v>206</v>
      </c>
      <c r="F561" s="71">
        <v>250000</v>
      </c>
      <c r="G561" s="11">
        <v>5</v>
      </c>
      <c r="H561" s="24">
        <f>+G561*F561</f>
        <v>1250000</v>
      </c>
      <c r="I561" s="134"/>
      <c r="J561" s="68"/>
      <c r="K561" s="266"/>
      <c r="L561" s="266"/>
    </row>
    <row r="562" spans="1:12" s="45" customFormat="1" x14ac:dyDescent="0.2">
      <c r="A562" s="207"/>
      <c r="B562" s="253"/>
      <c r="C562" s="57"/>
      <c r="D562" s="391" t="s">
        <v>333</v>
      </c>
      <c r="E562" s="77" t="s">
        <v>206</v>
      </c>
      <c r="F562" s="71">
        <v>92323</v>
      </c>
      <c r="G562" s="11">
        <v>3</v>
      </c>
      <c r="H562" s="24">
        <f>+G562*F562</f>
        <v>276969</v>
      </c>
      <c r="I562" s="134"/>
      <c r="J562" s="68"/>
      <c r="K562" s="266"/>
      <c r="L562" s="266"/>
    </row>
    <row r="563" spans="1:12" s="45" customFormat="1" x14ac:dyDescent="0.2">
      <c r="A563" s="207"/>
      <c r="B563" s="319"/>
      <c r="C563" s="57"/>
      <c r="D563" s="64" t="s">
        <v>222</v>
      </c>
      <c r="E563" s="77" t="s">
        <v>206</v>
      </c>
      <c r="F563" s="71"/>
      <c r="G563" s="90" t="s">
        <v>344</v>
      </c>
      <c r="H563" s="24">
        <f>SUM(H560:H562)</f>
        <v>2326969</v>
      </c>
      <c r="I563" s="134"/>
      <c r="J563" s="68"/>
      <c r="K563" s="266"/>
      <c r="L563" s="266"/>
    </row>
    <row r="564" spans="1:12" s="45" customFormat="1" x14ac:dyDescent="0.2">
      <c r="A564" s="207"/>
      <c r="B564" s="319"/>
      <c r="C564" s="57"/>
      <c r="D564" s="64" t="s">
        <v>73</v>
      </c>
      <c r="E564" s="385" t="s">
        <v>21</v>
      </c>
      <c r="F564" s="380">
        <f>H563</f>
        <v>2326969</v>
      </c>
      <c r="G564" s="11">
        <v>3</v>
      </c>
      <c r="H564" s="24">
        <f>+F564*G564</f>
        <v>6980907</v>
      </c>
      <c r="I564" s="134"/>
      <c r="J564" s="68"/>
      <c r="K564" s="266"/>
      <c r="L564" s="266"/>
    </row>
    <row r="565" spans="1:12" s="45" customFormat="1" x14ac:dyDescent="0.2">
      <c r="A565" s="207"/>
      <c r="B565" s="319"/>
      <c r="C565" s="57"/>
      <c r="D565" s="93" t="s">
        <v>129</v>
      </c>
      <c r="E565" s="326" t="s">
        <v>111</v>
      </c>
      <c r="F565" s="328"/>
      <c r="G565" s="343"/>
      <c r="H565" s="188">
        <f>H564*8.33%</f>
        <v>581509.55310000002</v>
      </c>
      <c r="I565" s="135"/>
      <c r="J565" s="69"/>
      <c r="K565" s="266"/>
      <c r="L565" s="266"/>
    </row>
    <row r="566" spans="1:12" s="45" customFormat="1" x14ac:dyDescent="0.2">
      <c r="A566" s="207"/>
      <c r="B566" s="155"/>
      <c r="C566" s="56"/>
      <c r="D566" s="361" t="s">
        <v>257</v>
      </c>
      <c r="E566" s="326" t="s">
        <v>111</v>
      </c>
      <c r="F566" s="328"/>
      <c r="G566" s="331"/>
      <c r="H566" s="188">
        <f>H564*7%</f>
        <v>488663.49000000005</v>
      </c>
      <c r="I566" s="79">
        <v>0</v>
      </c>
      <c r="J566" s="79">
        <f>+H566+H564+H565</f>
        <v>8051080.0431000004</v>
      </c>
      <c r="K566" s="266"/>
      <c r="L566" s="266"/>
    </row>
    <row r="567" spans="1:12" s="63" customFormat="1" ht="15" customHeight="1" x14ac:dyDescent="0.2">
      <c r="A567" s="214"/>
      <c r="B567" s="161"/>
      <c r="C567" s="57">
        <v>2</v>
      </c>
      <c r="D567" s="386" t="s">
        <v>334</v>
      </c>
      <c r="E567" s="121"/>
      <c r="F567" s="83"/>
      <c r="G567" s="83"/>
      <c r="H567" s="127"/>
      <c r="I567" s="132"/>
      <c r="J567" s="122"/>
      <c r="K567" s="266"/>
      <c r="L567" s="266"/>
    </row>
    <row r="568" spans="1:12" s="45" customFormat="1" x14ac:dyDescent="0.2">
      <c r="A568" s="207"/>
      <c r="B568" s="155"/>
      <c r="C568" s="57"/>
      <c r="D568" s="64" t="s">
        <v>224</v>
      </c>
      <c r="E568" s="77" t="s">
        <v>111</v>
      </c>
      <c r="F568" s="49">
        <v>100000</v>
      </c>
      <c r="G568" s="12">
        <v>10</v>
      </c>
      <c r="H568" s="30">
        <f>+G568*F568</f>
        <v>1000000</v>
      </c>
      <c r="I568" s="134"/>
      <c r="J568" s="68"/>
      <c r="K568" s="266"/>
      <c r="L568" s="266"/>
    </row>
    <row r="569" spans="1:12" s="45" customFormat="1" x14ac:dyDescent="0.2">
      <c r="A569" s="207"/>
      <c r="B569" s="155"/>
      <c r="C569" s="37"/>
      <c r="D569" s="64" t="s">
        <v>225</v>
      </c>
      <c r="E569" s="77" t="s">
        <v>111</v>
      </c>
      <c r="F569" s="49">
        <v>60000</v>
      </c>
      <c r="G569" s="12">
        <v>10</v>
      </c>
      <c r="H569" s="30">
        <f>+G569*F569</f>
        <v>600000</v>
      </c>
      <c r="I569" s="134"/>
      <c r="J569" s="68"/>
      <c r="K569" s="266"/>
      <c r="L569" s="266"/>
    </row>
    <row r="570" spans="1:12" s="45" customFormat="1" x14ac:dyDescent="0.2">
      <c r="A570" s="207"/>
      <c r="B570" s="319"/>
      <c r="C570" s="37"/>
      <c r="D570" s="64"/>
      <c r="E570" s="77" t="s">
        <v>111</v>
      </c>
      <c r="F570" s="382"/>
      <c r="G570" s="383"/>
      <c r="H570" s="384">
        <f>SUM(H568:H569)</f>
        <v>1600000</v>
      </c>
      <c r="I570" s="134"/>
      <c r="J570" s="68"/>
      <c r="K570" s="266"/>
      <c r="L570" s="266"/>
    </row>
    <row r="571" spans="1:12" s="45" customFormat="1" x14ac:dyDescent="0.2">
      <c r="A571" s="207"/>
      <c r="B571" s="319"/>
      <c r="C571" s="37"/>
      <c r="D571" s="93" t="s">
        <v>129</v>
      </c>
      <c r="E571" s="326" t="s">
        <v>111</v>
      </c>
      <c r="F571" s="328"/>
      <c r="G571" s="343"/>
      <c r="H571" s="188">
        <f>H570*8.33%</f>
        <v>133280</v>
      </c>
      <c r="I571" s="134"/>
      <c r="J571" s="68"/>
      <c r="K571" s="266"/>
      <c r="L571" s="266"/>
    </row>
    <row r="572" spans="1:12" s="45" customFormat="1" x14ac:dyDescent="0.2">
      <c r="A572" s="207"/>
      <c r="B572" s="155"/>
      <c r="C572" s="53"/>
      <c r="D572" s="361" t="s">
        <v>257</v>
      </c>
      <c r="E572" s="326" t="s">
        <v>111</v>
      </c>
      <c r="F572" s="328"/>
      <c r="G572" s="331"/>
      <c r="H572" s="188">
        <f>H570*7%</f>
        <v>112000.00000000001</v>
      </c>
      <c r="I572" s="79">
        <v>0</v>
      </c>
      <c r="J572" s="79">
        <f>H572+H571+H570</f>
        <v>1845280</v>
      </c>
      <c r="K572" s="266"/>
      <c r="L572" s="266"/>
    </row>
    <row r="573" spans="1:12" s="63" customFormat="1" ht="15" customHeight="1" x14ac:dyDescent="0.2">
      <c r="A573" s="214"/>
      <c r="B573" s="161"/>
      <c r="C573" s="254">
        <v>5</v>
      </c>
      <c r="D573" s="386" t="s">
        <v>264</v>
      </c>
      <c r="E573" s="121"/>
      <c r="F573" s="83"/>
      <c r="G573" s="83"/>
      <c r="H573" s="127"/>
      <c r="I573" s="132"/>
      <c r="J573" s="122"/>
      <c r="K573" s="266"/>
      <c r="L573" s="266"/>
    </row>
    <row r="574" spans="1:12" s="76" customFormat="1" x14ac:dyDescent="0.2">
      <c r="A574" s="213"/>
      <c r="B574" s="160"/>
      <c r="C574" s="57"/>
      <c r="D574" s="64" t="s">
        <v>226</v>
      </c>
      <c r="E574" s="66" t="s">
        <v>165</v>
      </c>
      <c r="F574" s="71">
        <v>5443</v>
      </c>
      <c r="G574" s="90">
        <v>10</v>
      </c>
      <c r="H574" s="71"/>
      <c r="I574" s="134"/>
      <c r="J574" s="68"/>
      <c r="K574" s="266"/>
      <c r="L574" s="266"/>
    </row>
    <row r="575" spans="1:12" s="76" customFormat="1" x14ac:dyDescent="0.2">
      <c r="A575" s="213"/>
      <c r="B575" s="160"/>
      <c r="C575" s="57"/>
      <c r="D575" s="64" t="s">
        <v>227</v>
      </c>
      <c r="E575" s="77" t="s">
        <v>165</v>
      </c>
      <c r="F575" s="71">
        <v>3255</v>
      </c>
      <c r="G575" s="90">
        <v>10</v>
      </c>
      <c r="H575" s="71"/>
      <c r="I575" s="134"/>
      <c r="J575" s="68"/>
      <c r="K575" s="266"/>
      <c r="L575" s="266"/>
    </row>
    <row r="576" spans="1:12" s="76" customFormat="1" x14ac:dyDescent="0.2">
      <c r="A576" s="302"/>
      <c r="B576" s="320"/>
      <c r="C576" s="57"/>
      <c r="D576" s="64" t="s">
        <v>228</v>
      </c>
      <c r="E576" s="77" t="s">
        <v>165</v>
      </c>
      <c r="F576" s="71">
        <f>SUM(F574:F575)</f>
        <v>8698</v>
      </c>
      <c r="G576" s="90">
        <v>1</v>
      </c>
      <c r="H576" s="71">
        <f>+G576*F576</f>
        <v>8698</v>
      </c>
      <c r="I576" s="134"/>
      <c r="J576" s="68"/>
      <c r="K576" s="266"/>
      <c r="L576" s="266"/>
    </row>
    <row r="577" spans="1:12" s="76" customFormat="1" x14ac:dyDescent="0.2">
      <c r="A577" s="302"/>
      <c r="B577" s="320"/>
      <c r="C577" s="57"/>
      <c r="D577" s="391" t="s">
        <v>315</v>
      </c>
      <c r="E577" s="385" t="s">
        <v>111</v>
      </c>
      <c r="F577" s="380">
        <f>F576</f>
        <v>8698</v>
      </c>
      <c r="G577" s="381">
        <f>G574*5</f>
        <v>50</v>
      </c>
      <c r="H577" s="24">
        <f>+F577*G577</f>
        <v>434900</v>
      </c>
      <c r="I577" s="134"/>
      <c r="J577" s="68"/>
      <c r="K577" s="266"/>
      <c r="L577" s="266"/>
    </row>
    <row r="578" spans="1:12" s="76" customFormat="1" x14ac:dyDescent="0.2">
      <c r="A578" s="302"/>
      <c r="B578" s="320"/>
      <c r="C578" s="57"/>
      <c r="D578" s="93" t="s">
        <v>129</v>
      </c>
      <c r="E578" s="326" t="s">
        <v>111</v>
      </c>
      <c r="F578" s="328"/>
      <c r="G578" s="343"/>
      <c r="H578" s="188">
        <f>H577*8.33%</f>
        <v>36227.17</v>
      </c>
      <c r="I578" s="134"/>
      <c r="J578" s="68"/>
      <c r="K578" s="266"/>
      <c r="L578" s="266"/>
    </row>
    <row r="579" spans="1:12" s="45" customFormat="1" x14ac:dyDescent="0.2">
      <c r="A579" s="207"/>
      <c r="B579" s="155"/>
      <c r="C579" s="53"/>
      <c r="D579" s="361" t="s">
        <v>257</v>
      </c>
      <c r="E579" s="326" t="s">
        <v>111</v>
      </c>
      <c r="F579" s="328"/>
      <c r="G579" s="331"/>
      <c r="H579" s="188">
        <f>H577*7%</f>
        <v>30443.000000000004</v>
      </c>
      <c r="I579" s="79">
        <v>0</v>
      </c>
      <c r="J579" s="79">
        <f>H579+H578+H577</f>
        <v>501570.17</v>
      </c>
      <c r="K579" s="266"/>
      <c r="L579" s="266"/>
    </row>
    <row r="580" spans="1:12" s="63" customFormat="1" ht="15" customHeight="1" x14ac:dyDescent="0.2">
      <c r="A580" s="214"/>
      <c r="B580" s="161"/>
      <c r="C580" s="256">
        <f>10*13</f>
        <v>130</v>
      </c>
      <c r="D580" s="374" t="s">
        <v>270</v>
      </c>
      <c r="E580" s="121"/>
      <c r="F580" s="83"/>
      <c r="G580" s="83"/>
      <c r="H580" s="127"/>
      <c r="I580" s="132"/>
      <c r="J580" s="122"/>
      <c r="K580" s="266"/>
      <c r="L580" s="266"/>
    </row>
    <row r="581" spans="1:12" s="76" customFormat="1" x14ac:dyDescent="0.2">
      <c r="A581" s="213"/>
      <c r="B581" s="160"/>
      <c r="C581" s="257"/>
      <c r="D581" s="460" t="s">
        <v>342</v>
      </c>
      <c r="E581" s="94"/>
      <c r="F581" s="74"/>
      <c r="G581" s="74"/>
      <c r="H581" s="128"/>
      <c r="I581" s="134"/>
      <c r="J581" s="68"/>
      <c r="K581" s="266"/>
      <c r="L581" s="266"/>
    </row>
    <row r="582" spans="1:12" s="76" customFormat="1" x14ac:dyDescent="0.2">
      <c r="A582" s="213"/>
      <c r="B582" s="160"/>
      <c r="C582" s="257"/>
      <c r="D582" s="64" t="s">
        <v>249</v>
      </c>
      <c r="E582" s="125" t="s">
        <v>165</v>
      </c>
      <c r="F582" s="71">
        <v>2822</v>
      </c>
      <c r="G582" s="71">
        <v>1</v>
      </c>
      <c r="H582" s="71">
        <f>F582*$C$580</f>
        <v>366860</v>
      </c>
      <c r="I582" s="134"/>
      <c r="J582" s="68"/>
      <c r="K582" s="266"/>
      <c r="L582" s="266"/>
    </row>
    <row r="583" spans="1:12" s="76" customFormat="1" x14ac:dyDescent="0.2">
      <c r="A583" s="213"/>
      <c r="B583" s="160"/>
      <c r="C583" s="257"/>
      <c r="D583" s="64" t="s">
        <v>116</v>
      </c>
      <c r="E583" s="125" t="s">
        <v>165</v>
      </c>
      <c r="F583" s="71">
        <f>F582*25%*3</f>
        <v>2116.5</v>
      </c>
      <c r="G583" s="90">
        <v>1</v>
      </c>
      <c r="H583" s="71">
        <f t="shared" ref="H583:H584" si="13">F583*$C$580</f>
        <v>275145</v>
      </c>
      <c r="I583" s="134"/>
      <c r="J583" s="68"/>
      <c r="K583" s="266"/>
      <c r="L583" s="266"/>
    </row>
    <row r="584" spans="1:12" s="76" customFormat="1" x14ac:dyDescent="0.2">
      <c r="A584" s="302"/>
      <c r="B584" s="320"/>
      <c r="C584" s="257"/>
      <c r="D584" s="391" t="s">
        <v>316</v>
      </c>
      <c r="E584" s="444" t="s">
        <v>165</v>
      </c>
      <c r="F584" s="380">
        <f>F582*15%</f>
        <v>423.3</v>
      </c>
      <c r="G584" s="381">
        <v>1</v>
      </c>
      <c r="H584" s="71">
        <f t="shared" si="13"/>
        <v>55029</v>
      </c>
      <c r="I584" s="134"/>
      <c r="J584" s="68"/>
      <c r="K584" s="266"/>
      <c r="L584" s="266"/>
    </row>
    <row r="585" spans="1:12" s="76" customFormat="1" x14ac:dyDescent="0.2">
      <c r="A585" s="302"/>
      <c r="B585" s="320"/>
      <c r="C585" s="257"/>
      <c r="D585" s="460" t="s">
        <v>343</v>
      </c>
      <c r="E585" s="125" t="s">
        <v>73</v>
      </c>
      <c r="F585" s="71">
        <f>SUM(F582:F584)</f>
        <v>5361.8</v>
      </c>
      <c r="G585" s="90">
        <v>1</v>
      </c>
      <c r="H585" s="71">
        <f>+G585*F585</f>
        <v>5361.8</v>
      </c>
      <c r="I585" s="134"/>
      <c r="J585" s="68"/>
      <c r="K585" s="266"/>
      <c r="L585" s="266"/>
    </row>
    <row r="586" spans="1:12" s="76" customFormat="1" x14ac:dyDescent="0.2">
      <c r="A586" s="213"/>
      <c r="B586" s="255"/>
      <c r="C586" s="257"/>
      <c r="D586" s="395" t="s">
        <v>271</v>
      </c>
      <c r="E586" s="125" t="s">
        <v>73</v>
      </c>
      <c r="F586" s="71">
        <f>F585</f>
        <v>5361.8</v>
      </c>
      <c r="G586" s="90">
        <v>100</v>
      </c>
      <c r="H586" s="71">
        <f>+F586*G586</f>
        <v>536180</v>
      </c>
      <c r="I586" s="79">
        <v>0</v>
      </c>
      <c r="J586" s="79">
        <f>H586</f>
        <v>536180</v>
      </c>
      <c r="K586" s="266"/>
      <c r="L586" s="266"/>
    </row>
    <row r="587" spans="1:12" s="44" customFormat="1" ht="15" customHeight="1" x14ac:dyDescent="0.2">
      <c r="A587" s="211"/>
      <c r="B587" s="156"/>
      <c r="C587" s="145">
        <f>SUM(C554:C586)</f>
        <v>144</v>
      </c>
      <c r="D587" s="111"/>
      <c r="E587" s="85"/>
      <c r="F587" s="473" t="s">
        <v>54</v>
      </c>
      <c r="G587" s="474" t="s">
        <v>92</v>
      </c>
      <c r="H587" s="246">
        <f>SUM(J554:J586)</f>
        <v>11221641.742700001</v>
      </c>
      <c r="I587" s="245">
        <f>SUM(I559:I586)</f>
        <v>0</v>
      </c>
      <c r="J587" s="245">
        <f>SUM(J554:J586)</f>
        <v>11221641.742700001</v>
      </c>
      <c r="K587" s="266"/>
      <c r="L587" s="266"/>
    </row>
    <row r="588" spans="1:12" s="42" customFormat="1" ht="17.25" customHeight="1" x14ac:dyDescent="0.2">
      <c r="A588" s="207"/>
      <c r="B588" s="152"/>
      <c r="C588" s="55"/>
      <c r="D588" s="387"/>
      <c r="E588" s="20"/>
      <c r="F588" s="19"/>
      <c r="G588" s="19"/>
      <c r="H588" s="388"/>
      <c r="I588" s="389"/>
      <c r="J588" s="389"/>
      <c r="K588" s="266"/>
      <c r="L588" s="266"/>
    </row>
    <row r="589" spans="1:12" s="44" customFormat="1" ht="15" customHeight="1" x14ac:dyDescent="0.2">
      <c r="A589" s="211"/>
      <c r="B589" s="158"/>
      <c r="C589" s="228">
        <v>6</v>
      </c>
      <c r="D589" s="378" t="s">
        <v>265</v>
      </c>
      <c r="E589" s="241" t="s">
        <v>74</v>
      </c>
      <c r="F589" s="242" t="s">
        <v>39</v>
      </c>
      <c r="G589" s="243" t="s">
        <v>40</v>
      </c>
      <c r="H589" s="240" t="s">
        <v>53</v>
      </c>
      <c r="I589" s="244" t="s">
        <v>55</v>
      </c>
      <c r="J589" s="244" t="s">
        <v>121</v>
      </c>
      <c r="K589" s="266"/>
      <c r="L589" s="266"/>
    </row>
    <row r="590" spans="1:12" ht="15" customHeight="1" x14ac:dyDescent="0.2">
      <c r="A590" s="207"/>
      <c r="B590" s="155"/>
      <c r="C590" s="53"/>
      <c r="D590" s="396" t="s">
        <v>272</v>
      </c>
      <c r="E590" s="15">
        <v>0.28999999999999998</v>
      </c>
      <c r="F590" s="21">
        <f>+J566+J572+J579+J558-H557-H566-H572-H579</f>
        <v>10036903.412699999</v>
      </c>
      <c r="G590" s="26">
        <v>1</v>
      </c>
      <c r="H590" s="24">
        <f>E590*F590*G590</f>
        <v>2910701.9896829994</v>
      </c>
      <c r="I590" s="129">
        <v>0</v>
      </c>
      <c r="J590" s="129">
        <f>H590+I590</f>
        <v>2910701.9896829994</v>
      </c>
      <c r="K590" s="266"/>
      <c r="L590" s="266"/>
    </row>
    <row r="591" spans="1:12" ht="15" customHeight="1" x14ac:dyDescent="0.2">
      <c r="A591" s="207"/>
      <c r="B591" s="155"/>
      <c r="C591" s="53"/>
      <c r="D591" s="200" t="s">
        <v>166</v>
      </c>
      <c r="E591" s="15">
        <v>0.28000000000000003</v>
      </c>
      <c r="F591" s="21">
        <f>+H551-H545-H546-H509-H498*2-H487-H473*2-H462-H451-H440-H429-H418-H407-H396-H385-H374-H363-H352-H341-H330-H319-H297-H286-H275-H253*2-H242*2-H231-H220-H209-H198-H187-H176-H165*2-H154-H140-H129-H118-H107-H264-H522-H533-H308*2</f>
        <v>12410992.366601506</v>
      </c>
      <c r="G591" s="26">
        <v>1</v>
      </c>
      <c r="H591" s="24">
        <f>E591*F591*G591</f>
        <v>3475077.8626484219</v>
      </c>
      <c r="I591" s="129">
        <v>0</v>
      </c>
      <c r="J591" s="129">
        <f>H591+I591</f>
        <v>3475077.8626484219</v>
      </c>
      <c r="K591" s="266"/>
      <c r="L591" s="266"/>
    </row>
    <row r="592" spans="1:12" ht="15" customHeight="1" x14ac:dyDescent="0.2">
      <c r="A592" s="207"/>
      <c r="B592" s="155"/>
      <c r="C592" s="53"/>
      <c r="D592" s="200" t="s">
        <v>57</v>
      </c>
      <c r="E592" s="15"/>
      <c r="F592" s="21">
        <v>0</v>
      </c>
      <c r="G592" s="26">
        <v>1</v>
      </c>
      <c r="H592" s="24">
        <f>E592*F592*G592</f>
        <v>0</v>
      </c>
      <c r="I592" s="129">
        <v>0</v>
      </c>
      <c r="J592" s="129">
        <f>H592+I592</f>
        <v>0</v>
      </c>
      <c r="K592" s="266"/>
      <c r="L592" s="266"/>
    </row>
    <row r="593" spans="1:12" ht="15" customHeight="1" x14ac:dyDescent="0.2">
      <c r="A593" s="207"/>
      <c r="B593" s="155"/>
      <c r="C593" s="53"/>
      <c r="D593" s="201" t="s">
        <v>8</v>
      </c>
      <c r="E593" s="15">
        <v>0.15</v>
      </c>
      <c r="F593" s="21">
        <f>+H586</f>
        <v>536180</v>
      </c>
      <c r="G593" s="26">
        <v>1</v>
      </c>
      <c r="H593" s="24">
        <f>E593*F593*G593</f>
        <v>80427</v>
      </c>
      <c r="I593" s="129">
        <v>0</v>
      </c>
      <c r="J593" s="129">
        <f>H593+I593</f>
        <v>80427</v>
      </c>
      <c r="K593" s="266"/>
      <c r="L593" s="266"/>
    </row>
    <row r="594" spans="1:12" s="44" customFormat="1" ht="15" customHeight="1" x14ac:dyDescent="0.2">
      <c r="A594" s="211"/>
      <c r="B594" s="156"/>
      <c r="C594" s="112">
        <f>SUM(C590:C593)</f>
        <v>0</v>
      </c>
      <c r="D594" s="111"/>
      <c r="E594" s="85"/>
      <c r="F594" s="473" t="s">
        <v>45</v>
      </c>
      <c r="G594" s="474" t="s">
        <v>92</v>
      </c>
      <c r="H594" s="246">
        <f>SUM(H590:H593)</f>
        <v>6466206.8523314213</v>
      </c>
      <c r="I594" s="245">
        <f>SUM(I590:I593)</f>
        <v>0</v>
      </c>
      <c r="J594" s="245">
        <f>SUM(J590:J593)</f>
        <v>6466206.8523314213</v>
      </c>
      <c r="K594" s="266"/>
      <c r="L594" s="266"/>
    </row>
    <row r="595" spans="1:12" s="42" customFormat="1" ht="30" customHeight="1" x14ac:dyDescent="0.2">
      <c r="A595" s="207"/>
      <c r="B595" s="152"/>
      <c r="C595" s="55"/>
      <c r="D595" s="6"/>
      <c r="E595" s="7"/>
      <c r="F595" s="8"/>
      <c r="G595" s="8"/>
      <c r="H595" s="9"/>
      <c r="I595" s="43"/>
      <c r="J595" s="43"/>
      <c r="K595" s="266"/>
      <c r="L595" s="266"/>
    </row>
    <row r="596" spans="1:12" s="44" customFormat="1" ht="15" customHeight="1" x14ac:dyDescent="0.2">
      <c r="A596" s="211"/>
      <c r="B596" s="158"/>
      <c r="C596" s="228">
        <v>7</v>
      </c>
      <c r="D596" s="414" t="s">
        <v>286</v>
      </c>
      <c r="E596" s="241" t="s">
        <v>74</v>
      </c>
      <c r="F596" s="242" t="s">
        <v>39</v>
      </c>
      <c r="G596" s="243" t="s">
        <v>40</v>
      </c>
      <c r="H596" s="240" t="s">
        <v>53</v>
      </c>
      <c r="I596" s="244" t="s">
        <v>55</v>
      </c>
      <c r="J596" s="244" t="s">
        <v>121</v>
      </c>
      <c r="K596" s="266"/>
      <c r="L596" s="266"/>
    </row>
    <row r="597" spans="1:12" s="63" customFormat="1" ht="15" customHeight="1" x14ac:dyDescent="0.2">
      <c r="A597" s="214"/>
      <c r="B597" s="161"/>
      <c r="C597" s="62"/>
      <c r="D597" s="199" t="s">
        <v>106</v>
      </c>
      <c r="E597" s="120"/>
      <c r="F597" s="67"/>
      <c r="G597" s="123"/>
      <c r="H597" s="24"/>
      <c r="I597" s="139"/>
      <c r="J597" s="78"/>
      <c r="K597" s="266"/>
      <c r="L597" s="266"/>
    </row>
    <row r="598" spans="1:12" s="45" customFormat="1" ht="15" customHeight="1" x14ac:dyDescent="0.2">
      <c r="A598" s="207"/>
      <c r="B598" s="152"/>
      <c r="C598" s="53"/>
      <c r="D598" s="64"/>
      <c r="E598" s="77" t="s">
        <v>176</v>
      </c>
      <c r="F598" s="33">
        <v>225000</v>
      </c>
      <c r="G598" s="24">
        <v>1</v>
      </c>
      <c r="H598" s="24">
        <f>G598*F598</f>
        <v>225000</v>
      </c>
      <c r="I598" s="71">
        <f>H598*21%</f>
        <v>47250</v>
      </c>
      <c r="J598" s="71">
        <f>H598+I598</f>
        <v>272250</v>
      </c>
      <c r="K598" s="266"/>
      <c r="L598" s="266"/>
    </row>
    <row r="599" spans="1:12" s="63" customFormat="1" ht="15" customHeight="1" x14ac:dyDescent="0.2">
      <c r="A599" s="214"/>
      <c r="B599" s="205"/>
      <c r="C599" s="62"/>
      <c r="D599" s="199" t="s">
        <v>178</v>
      </c>
      <c r="E599" s="120"/>
      <c r="F599" s="67"/>
      <c r="G599" s="123"/>
      <c r="H599" s="24"/>
      <c r="I599" s="139"/>
      <c r="J599" s="78"/>
      <c r="K599" s="266"/>
      <c r="L599" s="266"/>
    </row>
    <row r="600" spans="1:12" s="45" customFormat="1" ht="15" customHeight="1" x14ac:dyDescent="0.2">
      <c r="A600" s="207"/>
      <c r="B600" s="152"/>
      <c r="C600" s="53"/>
      <c r="D600" s="64"/>
      <c r="E600" s="77" t="s">
        <v>176</v>
      </c>
      <c r="F600" s="33">
        <v>30000</v>
      </c>
      <c r="G600" s="24">
        <v>1</v>
      </c>
      <c r="H600" s="24">
        <f>G600*F600</f>
        <v>30000</v>
      </c>
      <c r="I600" s="71">
        <f>H600*21%</f>
        <v>6300</v>
      </c>
      <c r="J600" s="71">
        <f>H600+I600</f>
        <v>36300</v>
      </c>
      <c r="K600" s="266"/>
      <c r="L600" s="266"/>
    </row>
    <row r="601" spans="1:12" s="63" customFormat="1" ht="15" customHeight="1" x14ac:dyDescent="0.2">
      <c r="A601" s="214"/>
      <c r="B601" s="161"/>
      <c r="C601" s="62"/>
      <c r="D601" s="199" t="s">
        <v>86</v>
      </c>
      <c r="E601" s="120"/>
      <c r="F601" s="67"/>
      <c r="G601" s="123"/>
      <c r="H601" s="24"/>
      <c r="I601" s="139"/>
      <c r="J601" s="78"/>
      <c r="K601" s="266"/>
      <c r="L601" s="266"/>
    </row>
    <row r="602" spans="1:12" s="45" customFormat="1" ht="15" customHeight="1" x14ac:dyDescent="0.2">
      <c r="A602" s="207"/>
      <c r="B602" s="152"/>
      <c r="C602" s="53"/>
      <c r="D602" s="64"/>
      <c r="E602" s="77" t="s">
        <v>176</v>
      </c>
      <c r="F602" s="33">
        <v>38000</v>
      </c>
      <c r="G602" s="24">
        <v>1</v>
      </c>
      <c r="H602" s="24">
        <f>G602*F602</f>
        <v>38000</v>
      </c>
      <c r="I602" s="71">
        <f>H602*21%</f>
        <v>7980</v>
      </c>
      <c r="J602" s="71">
        <f>H602+I602</f>
        <v>45980</v>
      </c>
      <c r="K602" s="266"/>
      <c r="L602" s="266"/>
    </row>
    <row r="603" spans="1:12" s="63" customFormat="1" ht="15" customHeight="1" x14ac:dyDescent="0.2">
      <c r="A603" s="214"/>
      <c r="B603" s="161"/>
      <c r="C603" s="62"/>
      <c r="D603" s="199" t="s">
        <v>22</v>
      </c>
      <c r="E603" s="120"/>
      <c r="F603" s="67"/>
      <c r="G603" s="123"/>
      <c r="H603" s="24"/>
      <c r="I603" s="139"/>
      <c r="J603" s="78"/>
      <c r="K603" s="266"/>
      <c r="L603" s="266"/>
    </row>
    <row r="604" spans="1:12" s="45" customFormat="1" ht="15" customHeight="1" x14ac:dyDescent="0.2">
      <c r="A604" s="207"/>
      <c r="B604" s="152"/>
      <c r="C604" s="53"/>
      <c r="D604" s="1"/>
      <c r="E604" s="77" t="s">
        <v>176</v>
      </c>
      <c r="F604" s="33">
        <v>75000</v>
      </c>
      <c r="G604" s="24">
        <v>1</v>
      </c>
      <c r="H604" s="24">
        <f>+G604*F604</f>
        <v>75000</v>
      </c>
      <c r="I604" s="71">
        <f>H604*21%</f>
        <v>15750</v>
      </c>
      <c r="J604" s="79">
        <f>H604+I604</f>
        <v>90750</v>
      </c>
      <c r="K604" s="266"/>
      <c r="L604" s="266"/>
    </row>
    <row r="605" spans="1:12" s="63" customFormat="1" ht="15" customHeight="1" x14ac:dyDescent="0.2">
      <c r="A605" s="214"/>
      <c r="B605" s="161"/>
      <c r="C605" s="62"/>
      <c r="D605" s="199" t="s">
        <v>87</v>
      </c>
      <c r="E605" s="120"/>
      <c r="F605" s="67"/>
      <c r="G605" s="123"/>
      <c r="H605" s="24"/>
      <c r="I605" s="139"/>
      <c r="J605" s="78"/>
      <c r="K605" s="266"/>
      <c r="L605" s="266"/>
    </row>
    <row r="606" spans="1:12" s="45" customFormat="1" ht="15" customHeight="1" x14ac:dyDescent="0.2">
      <c r="A606" s="207"/>
      <c r="B606" s="152"/>
      <c r="C606" s="53"/>
      <c r="D606" s="415" t="s">
        <v>60</v>
      </c>
      <c r="E606" s="416" t="s">
        <v>176</v>
      </c>
      <c r="F606" s="21">
        <v>15000</v>
      </c>
      <c r="G606" s="26">
        <v>3</v>
      </c>
      <c r="H606" s="26">
        <f>F606*G606</f>
        <v>45000</v>
      </c>
      <c r="I606" s="417">
        <f>+H606*21%</f>
        <v>9450</v>
      </c>
      <c r="J606" s="417">
        <f>H606+I606</f>
        <v>54450</v>
      </c>
      <c r="K606" s="266"/>
      <c r="L606" s="266"/>
    </row>
    <row r="607" spans="1:12" s="63" customFormat="1" ht="15" customHeight="1" x14ac:dyDescent="0.2">
      <c r="A607" s="214"/>
      <c r="B607" s="161"/>
      <c r="C607" s="62"/>
      <c r="D607" s="386" t="s">
        <v>318</v>
      </c>
      <c r="E607" s="120"/>
      <c r="F607" s="67"/>
      <c r="G607" s="123"/>
      <c r="H607" s="24"/>
      <c r="I607" s="139"/>
      <c r="J607" s="78"/>
      <c r="K607" s="266"/>
      <c r="L607" s="266"/>
    </row>
    <row r="608" spans="1:12" s="45" customFormat="1" ht="15" customHeight="1" x14ac:dyDescent="0.2">
      <c r="A608" s="207"/>
      <c r="B608" s="152"/>
      <c r="C608" s="53"/>
      <c r="D608" s="391" t="s">
        <v>273</v>
      </c>
      <c r="E608" s="10" t="s">
        <v>21</v>
      </c>
      <c r="F608" s="33">
        <v>15000</v>
      </c>
      <c r="G608" s="24">
        <v>4</v>
      </c>
      <c r="H608" s="24">
        <f>F608*G608</f>
        <v>60000</v>
      </c>
      <c r="I608" s="71">
        <f>H608*21%</f>
        <v>12600</v>
      </c>
      <c r="J608" s="71">
        <f>H608+I608</f>
        <v>72600</v>
      </c>
      <c r="K608" s="266"/>
      <c r="L608" s="266"/>
    </row>
    <row r="609" spans="1:12" s="45" customFormat="1" ht="15" customHeight="1" x14ac:dyDescent="0.2">
      <c r="A609" s="207"/>
      <c r="B609" s="152"/>
      <c r="C609" s="53"/>
      <c r="D609" s="82" t="s">
        <v>110</v>
      </c>
      <c r="E609" s="77" t="s">
        <v>176</v>
      </c>
      <c r="F609" s="33">
        <v>15000</v>
      </c>
      <c r="G609" s="24">
        <v>1</v>
      </c>
      <c r="H609" s="24">
        <f>G609*F609</f>
        <v>15000</v>
      </c>
      <c r="I609" s="71">
        <f>H609*21%</f>
        <v>3150</v>
      </c>
      <c r="J609" s="71">
        <f>H609+I609</f>
        <v>18150</v>
      </c>
      <c r="K609" s="266"/>
      <c r="L609" s="266"/>
    </row>
    <row r="610" spans="1:12" s="44" customFormat="1" ht="15" customHeight="1" x14ac:dyDescent="0.2">
      <c r="A610" s="211"/>
      <c r="B610" s="156"/>
      <c r="C610" s="112">
        <f>SUM(C597:C609)</f>
        <v>0</v>
      </c>
      <c r="D610" s="111"/>
      <c r="E610" s="85"/>
      <c r="F610" s="473" t="s">
        <v>77</v>
      </c>
      <c r="G610" s="474"/>
      <c r="H610" s="246">
        <f>SUM(H597:H609)</f>
        <v>488000</v>
      </c>
      <c r="I610" s="245">
        <f>SUM(I597:I609)</f>
        <v>102480</v>
      </c>
      <c r="J610" s="245">
        <f>SUM(J597:J609)</f>
        <v>590480</v>
      </c>
      <c r="K610" s="266"/>
      <c r="L610" s="266"/>
    </row>
    <row r="611" spans="1:12" s="42" customFormat="1" ht="30" customHeight="1" x14ac:dyDescent="0.2">
      <c r="A611" s="207"/>
      <c r="B611" s="152"/>
      <c r="C611" s="55"/>
      <c r="D611" s="6"/>
      <c r="E611" s="7"/>
      <c r="F611" s="8"/>
      <c r="G611" s="8"/>
      <c r="H611" s="9"/>
      <c r="I611" s="43"/>
      <c r="J611" s="43"/>
      <c r="K611" s="266"/>
      <c r="L611" s="266"/>
    </row>
    <row r="612" spans="1:12" s="44" customFormat="1" ht="15" customHeight="1" x14ac:dyDescent="0.2">
      <c r="A612" s="211"/>
      <c r="B612" s="158"/>
      <c r="C612" s="228">
        <v>8</v>
      </c>
      <c r="D612" s="233" t="s">
        <v>91</v>
      </c>
      <c r="E612" s="241" t="s">
        <v>74</v>
      </c>
      <c r="F612" s="242" t="s">
        <v>39</v>
      </c>
      <c r="G612" s="243" t="s">
        <v>40</v>
      </c>
      <c r="H612" s="240" t="s">
        <v>53</v>
      </c>
      <c r="I612" s="244" t="s">
        <v>55</v>
      </c>
      <c r="J612" s="244" t="s">
        <v>121</v>
      </c>
      <c r="K612" s="266"/>
      <c r="L612" s="266"/>
    </row>
    <row r="613" spans="1:12" s="45" customFormat="1" ht="15" customHeight="1" x14ac:dyDescent="0.2">
      <c r="A613" s="207"/>
      <c r="B613" s="152"/>
      <c r="C613" s="54"/>
      <c r="D613" s="196" t="s">
        <v>51</v>
      </c>
      <c r="E613" s="77" t="s">
        <v>176</v>
      </c>
      <c r="F613" s="33">
        <v>15000</v>
      </c>
      <c r="G613" s="24">
        <v>1</v>
      </c>
      <c r="H613" s="24">
        <f>G613*F613</f>
        <v>15000</v>
      </c>
      <c r="I613" s="71">
        <f>H613*21%</f>
        <v>3150</v>
      </c>
      <c r="J613" s="71">
        <f>H613+I613</f>
        <v>18150</v>
      </c>
      <c r="K613" s="266"/>
      <c r="L613" s="266"/>
    </row>
    <row r="614" spans="1:12" s="45" customFormat="1" ht="15" customHeight="1" x14ac:dyDescent="0.2">
      <c r="A614" s="207"/>
      <c r="B614" s="152"/>
      <c r="C614" s="54"/>
      <c r="D614" s="196" t="s">
        <v>23</v>
      </c>
      <c r="E614" s="77" t="s">
        <v>111</v>
      </c>
      <c r="F614" s="33">
        <v>15000</v>
      </c>
      <c r="G614" s="24">
        <v>1</v>
      </c>
      <c r="H614" s="24">
        <f>G614*F614</f>
        <v>15000</v>
      </c>
      <c r="I614" s="71">
        <v>0</v>
      </c>
      <c r="J614" s="71">
        <f>H614+I614</f>
        <v>15000</v>
      </c>
      <c r="K614" s="266"/>
      <c r="L614" s="266"/>
    </row>
    <row r="615" spans="1:12" s="63" customFormat="1" ht="15" customHeight="1" x14ac:dyDescent="0.2">
      <c r="A615" s="214"/>
      <c r="B615" s="161"/>
      <c r="C615" s="62"/>
      <c r="D615" s="199" t="s">
        <v>207</v>
      </c>
      <c r="E615" s="120"/>
      <c r="F615" s="67"/>
      <c r="G615" s="123"/>
      <c r="H615" s="24"/>
      <c r="I615" s="139"/>
      <c r="J615" s="78"/>
      <c r="K615" s="266"/>
      <c r="L615" s="266"/>
    </row>
    <row r="616" spans="1:12" s="45" customFormat="1" ht="15" x14ac:dyDescent="0.2">
      <c r="A616" s="207"/>
      <c r="B616" s="152"/>
      <c r="C616" s="54"/>
      <c r="D616" s="64" t="s">
        <v>205</v>
      </c>
      <c r="E616" s="66" t="s">
        <v>206</v>
      </c>
      <c r="F616" s="33">
        <v>8000</v>
      </c>
      <c r="G616" s="24">
        <v>2</v>
      </c>
      <c r="H616" s="24">
        <f>+G616*F616</f>
        <v>16000</v>
      </c>
      <c r="I616" s="71">
        <f>+H616*21%</f>
        <v>3360</v>
      </c>
      <c r="J616" s="71">
        <f>H616+I616</f>
        <v>19360</v>
      </c>
      <c r="K616" s="266"/>
      <c r="L616" s="266"/>
    </row>
    <row r="617" spans="1:12" s="45" customFormat="1" ht="15" x14ac:dyDescent="0.2">
      <c r="A617" s="207"/>
      <c r="B617" s="152"/>
      <c r="C617" s="54"/>
      <c r="D617" s="391" t="s">
        <v>274</v>
      </c>
      <c r="E617" s="66" t="s">
        <v>206</v>
      </c>
      <c r="F617" s="33">
        <v>8000</v>
      </c>
      <c r="G617" s="24">
        <v>2</v>
      </c>
      <c r="H617" s="24">
        <f>+G617*F617</f>
        <v>16000</v>
      </c>
      <c r="I617" s="71">
        <f>+H617*21%</f>
        <v>3360</v>
      </c>
      <c r="J617" s="71">
        <f>H617+I617</f>
        <v>19360</v>
      </c>
      <c r="K617" s="266"/>
      <c r="L617" s="266"/>
    </row>
    <row r="618" spans="1:12" s="45" customFormat="1" ht="15" customHeight="1" x14ac:dyDescent="0.2">
      <c r="A618" s="207"/>
      <c r="B618" s="152"/>
      <c r="C618" s="54"/>
      <c r="D618" s="196" t="s">
        <v>119</v>
      </c>
      <c r="E618" s="17" t="s">
        <v>41</v>
      </c>
      <c r="F618" s="33">
        <v>0</v>
      </c>
      <c r="G618" s="24">
        <v>0</v>
      </c>
      <c r="H618" s="24">
        <f>G618*F618</f>
        <v>0</v>
      </c>
      <c r="I618" s="71">
        <f>+H618*21%</f>
        <v>0</v>
      </c>
      <c r="J618" s="71">
        <f>H618+I618</f>
        <v>0</v>
      </c>
      <c r="K618" s="266"/>
      <c r="L618" s="266"/>
    </row>
    <row r="619" spans="1:12" s="44" customFormat="1" ht="15" customHeight="1" x14ac:dyDescent="0.2">
      <c r="A619" s="211"/>
      <c r="B619" s="156"/>
      <c r="C619" s="112">
        <f>SUM(C613:C618)</f>
        <v>0</v>
      </c>
      <c r="D619" s="111"/>
      <c r="E619" s="85"/>
      <c r="F619" s="473" t="s">
        <v>97</v>
      </c>
      <c r="G619" s="474"/>
      <c r="H619" s="246">
        <f>SUM(H613:H618)</f>
        <v>62000</v>
      </c>
      <c r="I619" s="245">
        <f>SUM(I613:I618)</f>
        <v>9870</v>
      </c>
      <c r="J619" s="245">
        <f>SUM(J613:J618)</f>
        <v>71870</v>
      </c>
      <c r="K619" s="266"/>
      <c r="L619" s="266"/>
    </row>
    <row r="620" spans="1:12" s="42" customFormat="1" ht="30" customHeight="1" x14ac:dyDescent="0.2">
      <c r="A620" s="207"/>
      <c r="B620" s="152"/>
      <c r="C620" s="55"/>
      <c r="D620" s="6"/>
      <c r="E620" s="7"/>
      <c r="F620" s="8"/>
      <c r="G620" s="8"/>
      <c r="H620" s="9"/>
      <c r="I620" s="43"/>
      <c r="J620" s="43"/>
      <c r="K620" s="266"/>
      <c r="L620" s="266"/>
    </row>
    <row r="621" spans="1:12" s="44" customFormat="1" ht="15" customHeight="1" x14ac:dyDescent="0.2">
      <c r="A621" s="211"/>
      <c r="B621" s="158"/>
      <c r="C621" s="228">
        <v>9</v>
      </c>
      <c r="D621" s="233" t="s">
        <v>175</v>
      </c>
      <c r="E621" s="241" t="s">
        <v>74</v>
      </c>
      <c r="F621" s="242" t="s">
        <v>39</v>
      </c>
      <c r="G621" s="243" t="s">
        <v>40</v>
      </c>
      <c r="H621" s="240" t="s">
        <v>53</v>
      </c>
      <c r="I621" s="244" t="s">
        <v>55</v>
      </c>
      <c r="J621" s="244" t="s">
        <v>121</v>
      </c>
      <c r="K621" s="266"/>
      <c r="L621" s="266"/>
    </row>
    <row r="622" spans="1:12" s="45" customFormat="1" ht="15" customHeight="1" x14ac:dyDescent="0.2">
      <c r="A622" s="207"/>
      <c r="B622" s="152"/>
      <c r="C622" s="54"/>
      <c r="D622" s="196" t="s">
        <v>181</v>
      </c>
      <c r="E622" s="77" t="s">
        <v>177</v>
      </c>
      <c r="F622" s="33">
        <v>22500</v>
      </c>
      <c r="G622" s="24">
        <v>10</v>
      </c>
      <c r="H622" s="24">
        <f>F622*G622</f>
        <v>225000</v>
      </c>
      <c r="I622" s="71">
        <f>H622*21%</f>
        <v>47250</v>
      </c>
      <c r="J622" s="71">
        <f>H622+I622</f>
        <v>272250</v>
      </c>
      <c r="K622" s="266"/>
      <c r="L622" s="266"/>
    </row>
    <row r="623" spans="1:12" s="45" customFormat="1" ht="15" customHeight="1" x14ac:dyDescent="0.2">
      <c r="A623" s="207"/>
      <c r="B623" s="152"/>
      <c r="C623" s="54"/>
      <c r="D623" s="196" t="s">
        <v>22</v>
      </c>
      <c r="E623" s="77" t="s">
        <v>177</v>
      </c>
      <c r="F623" s="33">
        <v>19000</v>
      </c>
      <c r="G623" s="24">
        <v>10</v>
      </c>
      <c r="H623" s="24">
        <f>F623*G623</f>
        <v>190000</v>
      </c>
      <c r="I623" s="71">
        <f>H623*21%</f>
        <v>39900</v>
      </c>
      <c r="J623" s="71">
        <f>H623+I623</f>
        <v>229900</v>
      </c>
      <c r="K623" s="266"/>
      <c r="L623" s="266"/>
    </row>
    <row r="624" spans="1:12" s="45" customFormat="1" ht="15" customHeight="1" x14ac:dyDescent="0.2">
      <c r="A624" s="207"/>
      <c r="B624" s="260"/>
      <c r="C624" s="54"/>
      <c r="D624" s="197" t="s">
        <v>182</v>
      </c>
      <c r="E624" s="77" t="s">
        <v>177</v>
      </c>
      <c r="F624" s="33">
        <v>19000</v>
      </c>
      <c r="G624" s="24">
        <v>10</v>
      </c>
      <c r="H624" s="24">
        <f>F624*G624</f>
        <v>190000</v>
      </c>
      <c r="I624" s="71">
        <f>H624*21%</f>
        <v>39900</v>
      </c>
      <c r="J624" s="71">
        <f>H624+I624</f>
        <v>229900</v>
      </c>
      <c r="K624" s="266"/>
      <c r="L624" s="266"/>
    </row>
    <row r="625" spans="1:12" s="45" customFormat="1" ht="15" customHeight="1" x14ac:dyDescent="0.2">
      <c r="A625" s="207"/>
      <c r="B625" s="152"/>
      <c r="C625" s="54"/>
      <c r="D625" s="397" t="s">
        <v>275</v>
      </c>
      <c r="E625" s="77" t="s">
        <v>180</v>
      </c>
      <c r="F625" s="33">
        <v>4500</v>
      </c>
      <c r="G625" s="24">
        <v>10</v>
      </c>
      <c r="H625" s="24">
        <f>F625*G625</f>
        <v>45000</v>
      </c>
      <c r="I625" s="71">
        <v>0</v>
      </c>
      <c r="J625" s="71">
        <f>H625+I625</f>
        <v>45000</v>
      </c>
      <c r="K625" s="266"/>
      <c r="L625" s="266"/>
    </row>
    <row r="626" spans="1:12" s="44" customFormat="1" ht="15" customHeight="1" x14ac:dyDescent="0.2">
      <c r="A626" s="211"/>
      <c r="B626" s="156"/>
      <c r="C626" s="112">
        <f>SUM(C622:C623)</f>
        <v>0</v>
      </c>
      <c r="D626" s="111"/>
      <c r="E626" s="85"/>
      <c r="F626" s="480" t="s">
        <v>50</v>
      </c>
      <c r="G626" s="481"/>
      <c r="H626" s="263">
        <f>SUM(H622:H625)</f>
        <v>650000</v>
      </c>
      <c r="I626" s="264">
        <f>SUM(I622:I625)</f>
        <v>127050</v>
      </c>
      <c r="J626" s="264">
        <f>SUM(J622:J625)</f>
        <v>777050</v>
      </c>
      <c r="K626" s="266"/>
      <c r="L626" s="266"/>
    </row>
    <row r="627" spans="1:12" s="42" customFormat="1" ht="30" customHeight="1" x14ac:dyDescent="0.2">
      <c r="A627" s="207"/>
      <c r="B627" s="152"/>
      <c r="C627" s="55"/>
      <c r="D627" s="6"/>
      <c r="E627" s="7"/>
      <c r="F627" s="8"/>
      <c r="G627" s="8"/>
      <c r="H627" s="9"/>
      <c r="I627" s="43"/>
      <c r="J627" s="43"/>
      <c r="K627" s="266"/>
      <c r="L627" s="266"/>
    </row>
    <row r="628" spans="1:12" s="44" customFormat="1" ht="15" customHeight="1" x14ac:dyDescent="0.2">
      <c r="A628" s="211"/>
      <c r="B628" s="158"/>
      <c r="C628" s="228">
        <v>10</v>
      </c>
      <c r="D628" s="233" t="s">
        <v>43</v>
      </c>
      <c r="E628" s="241" t="s">
        <v>74</v>
      </c>
      <c r="F628" s="242" t="s">
        <v>39</v>
      </c>
      <c r="G628" s="243" t="s">
        <v>40</v>
      </c>
      <c r="H628" s="240" t="s">
        <v>53</v>
      </c>
      <c r="I628" s="244" t="s">
        <v>55</v>
      </c>
      <c r="J628" s="244" t="s">
        <v>121</v>
      </c>
      <c r="K628" s="266"/>
      <c r="L628" s="266"/>
    </row>
    <row r="629" spans="1:12" s="45" customFormat="1" ht="15" customHeight="1" x14ac:dyDescent="0.2">
      <c r="A629" s="207"/>
      <c r="B629" s="152"/>
      <c r="C629" s="54"/>
      <c r="D629" s="200" t="s">
        <v>209</v>
      </c>
      <c r="E629" s="416" t="s">
        <v>111</v>
      </c>
      <c r="F629" s="21">
        <v>38000</v>
      </c>
      <c r="G629" s="26">
        <v>2.5</v>
      </c>
      <c r="H629" s="26">
        <f>F629*G629</f>
        <v>95000</v>
      </c>
      <c r="I629" s="116">
        <f>H629*21%</f>
        <v>19950</v>
      </c>
      <c r="J629" s="116">
        <f>H629+I629</f>
        <v>114950</v>
      </c>
      <c r="K629" s="266"/>
      <c r="L629" s="266"/>
    </row>
    <row r="630" spans="1:12" s="45" customFormat="1" ht="15" customHeight="1" x14ac:dyDescent="0.2">
      <c r="A630" s="207"/>
      <c r="B630" s="152"/>
      <c r="C630" s="54"/>
      <c r="D630" s="196" t="s">
        <v>120</v>
      </c>
      <c r="E630" s="77" t="s">
        <v>111</v>
      </c>
      <c r="F630" s="33">
        <v>120000</v>
      </c>
      <c r="G630" s="24">
        <v>2.5</v>
      </c>
      <c r="H630" s="24">
        <f>F630*G630</f>
        <v>300000</v>
      </c>
      <c r="I630" s="71">
        <f>H630*21%</f>
        <v>63000</v>
      </c>
      <c r="J630" s="71">
        <f>H630+I630</f>
        <v>363000</v>
      </c>
      <c r="K630" s="266"/>
      <c r="L630" s="266"/>
    </row>
    <row r="631" spans="1:12" s="45" customFormat="1" ht="15" customHeight="1" x14ac:dyDescent="0.2">
      <c r="A631" s="207"/>
      <c r="B631" s="260"/>
      <c r="C631" s="54"/>
      <c r="D631" s="397" t="s">
        <v>317</v>
      </c>
      <c r="E631" s="77" t="s">
        <v>111</v>
      </c>
      <c r="F631" s="33">
        <v>20000</v>
      </c>
      <c r="G631" s="24">
        <v>3.5</v>
      </c>
      <c r="H631" s="24">
        <f>F631*G631</f>
        <v>70000</v>
      </c>
      <c r="I631" s="71">
        <f>H631*21%</f>
        <v>14700</v>
      </c>
      <c r="J631" s="71">
        <f>H631+I631</f>
        <v>84700</v>
      </c>
      <c r="K631" s="266"/>
      <c r="L631" s="266"/>
    </row>
    <row r="632" spans="1:12" s="44" customFormat="1" ht="15" customHeight="1" x14ac:dyDescent="0.2">
      <c r="A632" s="211"/>
      <c r="B632" s="156"/>
      <c r="C632" s="112">
        <f>SUM(C629:C630)</f>
        <v>0</v>
      </c>
      <c r="D632" s="111"/>
      <c r="E632" s="85"/>
      <c r="F632" s="473" t="s">
        <v>58</v>
      </c>
      <c r="G632" s="474"/>
      <c r="H632" s="246">
        <f>SUM(H629:H631)</f>
        <v>465000</v>
      </c>
      <c r="I632" s="245">
        <f>SUM(I629:I631)</f>
        <v>97650</v>
      </c>
      <c r="J632" s="245">
        <f>SUM(J629:J631)</f>
        <v>562650</v>
      </c>
      <c r="K632" s="266"/>
      <c r="L632" s="266"/>
    </row>
    <row r="633" spans="1:12" s="42" customFormat="1" ht="30" customHeight="1" x14ac:dyDescent="0.2">
      <c r="A633" s="207"/>
      <c r="B633" s="152"/>
      <c r="C633" s="55"/>
      <c r="D633" s="6"/>
      <c r="E633" s="7"/>
      <c r="F633" s="8"/>
      <c r="G633" s="8"/>
      <c r="H633" s="9"/>
      <c r="I633" s="43"/>
      <c r="J633" s="43"/>
      <c r="K633" s="266"/>
      <c r="L633" s="266"/>
    </row>
    <row r="634" spans="1:12" s="44" customFormat="1" ht="15" customHeight="1" x14ac:dyDescent="0.2">
      <c r="A634" s="211"/>
      <c r="B634" s="158"/>
      <c r="C634" s="228">
        <v>11</v>
      </c>
      <c r="D634" s="233" t="s">
        <v>75</v>
      </c>
      <c r="E634" s="241" t="s">
        <v>74</v>
      </c>
      <c r="F634" s="242" t="s">
        <v>39</v>
      </c>
      <c r="G634" s="243" t="s">
        <v>40</v>
      </c>
      <c r="H634" s="240" t="s">
        <v>53</v>
      </c>
      <c r="I634" s="244" t="s">
        <v>55</v>
      </c>
      <c r="J634" s="244" t="s">
        <v>121</v>
      </c>
      <c r="K634" s="266"/>
      <c r="L634" s="266"/>
    </row>
    <row r="635" spans="1:12" s="63" customFormat="1" ht="15" customHeight="1" x14ac:dyDescent="0.2">
      <c r="A635" s="214"/>
      <c r="B635" s="161"/>
      <c r="C635" s="13"/>
      <c r="D635" s="199" t="s">
        <v>183</v>
      </c>
      <c r="E635" s="121"/>
      <c r="F635" s="83"/>
      <c r="G635" s="83"/>
      <c r="H635" s="127"/>
      <c r="I635" s="132"/>
      <c r="J635" s="122"/>
      <c r="K635" s="266"/>
      <c r="L635" s="266"/>
    </row>
    <row r="636" spans="1:12" ht="15" customHeight="1" x14ac:dyDescent="0.2">
      <c r="A636" s="207"/>
      <c r="B636" s="152"/>
      <c r="C636" s="54"/>
      <c r="D636" s="391" t="s">
        <v>276</v>
      </c>
      <c r="E636" s="77">
        <v>4</v>
      </c>
      <c r="F636" s="26">
        <v>25000</v>
      </c>
      <c r="G636" s="24">
        <v>10</v>
      </c>
      <c r="H636" s="24">
        <f>+F636*E636*G636</f>
        <v>1000000</v>
      </c>
      <c r="I636" s="79">
        <f>H636*21%</f>
        <v>210000</v>
      </c>
      <c r="J636" s="79">
        <f t="shared" ref="J636:J638" si="14">+I636+H636</f>
        <v>1210000</v>
      </c>
      <c r="K636" s="266"/>
      <c r="L636" s="266"/>
    </row>
    <row r="637" spans="1:12" ht="15" customHeight="1" x14ac:dyDescent="0.2">
      <c r="A637" s="207"/>
      <c r="B637" s="152"/>
      <c r="C637" s="54"/>
      <c r="D637" s="398" t="s">
        <v>287</v>
      </c>
      <c r="E637" s="77">
        <v>1</v>
      </c>
      <c r="F637" s="26">
        <v>30000</v>
      </c>
      <c r="G637" s="24">
        <v>7</v>
      </c>
      <c r="H637" s="24">
        <f>+F637*G637*E637</f>
        <v>210000</v>
      </c>
      <c r="I637" s="79">
        <v>0</v>
      </c>
      <c r="J637" s="79">
        <f t="shared" si="14"/>
        <v>210000</v>
      </c>
      <c r="K637" s="266"/>
      <c r="L637" s="266"/>
    </row>
    <row r="638" spans="1:12" ht="15" customHeight="1" x14ac:dyDescent="0.2">
      <c r="A638" s="207"/>
      <c r="B638" s="152"/>
      <c r="C638" s="54"/>
      <c r="D638" s="64" t="s">
        <v>184</v>
      </c>
      <c r="E638" s="77">
        <v>5</v>
      </c>
      <c r="F638" s="26">
        <v>6000</v>
      </c>
      <c r="G638" s="24">
        <v>10</v>
      </c>
      <c r="H638" s="24">
        <f>+F638*G638*E638</f>
        <v>300000</v>
      </c>
      <c r="I638" s="79">
        <f>H638*21%</f>
        <v>63000</v>
      </c>
      <c r="J638" s="79">
        <f t="shared" si="14"/>
        <v>363000</v>
      </c>
      <c r="K638" s="266"/>
      <c r="L638" s="266"/>
    </row>
    <row r="639" spans="1:12" ht="15" customHeight="1" x14ac:dyDescent="0.2">
      <c r="A639" s="207"/>
      <c r="B639" s="152"/>
      <c r="C639" s="54"/>
      <c r="D639" s="64" t="s">
        <v>229</v>
      </c>
      <c r="E639" s="77">
        <v>1</v>
      </c>
      <c r="F639" s="26">
        <v>30000</v>
      </c>
      <c r="G639" s="24">
        <v>10</v>
      </c>
      <c r="H639" s="24">
        <f>+F639*G639*E639</f>
        <v>300000</v>
      </c>
      <c r="I639" s="79">
        <v>0</v>
      </c>
      <c r="J639" s="79">
        <f>+I639+H639</f>
        <v>300000</v>
      </c>
      <c r="K639" s="266"/>
      <c r="L639" s="266"/>
    </row>
    <row r="640" spans="1:12" ht="15" customHeight="1" x14ac:dyDescent="0.2">
      <c r="A640" s="207"/>
      <c r="B640" s="152"/>
      <c r="C640" s="54"/>
      <c r="D640" s="391" t="s">
        <v>277</v>
      </c>
      <c r="E640" s="10">
        <v>1</v>
      </c>
      <c r="F640" s="95">
        <v>1100</v>
      </c>
      <c r="G640" s="24">
        <v>10</v>
      </c>
      <c r="H640" s="32">
        <f>+F640*E640*G640</f>
        <v>11000</v>
      </c>
      <c r="I640" s="79">
        <f>H640*21%</f>
        <v>2310</v>
      </c>
      <c r="J640" s="79">
        <f>+I640+H640</f>
        <v>13310</v>
      </c>
      <c r="K640" s="266"/>
      <c r="L640" s="266"/>
    </row>
    <row r="641" spans="1:12" s="63" customFormat="1" ht="15" customHeight="1" x14ac:dyDescent="0.2">
      <c r="A641" s="214"/>
      <c r="B641" s="161"/>
      <c r="C641" s="62"/>
      <c r="D641" s="199" t="s">
        <v>235</v>
      </c>
      <c r="E641" s="120"/>
      <c r="F641" s="67"/>
      <c r="G641" s="123"/>
      <c r="H641" s="24"/>
      <c r="I641" s="136"/>
      <c r="J641" s="130"/>
      <c r="K641" s="266"/>
      <c r="L641" s="266"/>
    </row>
    <row r="642" spans="1:12" s="96" customFormat="1" ht="15" customHeight="1" x14ac:dyDescent="0.2">
      <c r="A642" s="213"/>
      <c r="B642" s="159"/>
      <c r="C642" s="54"/>
      <c r="D642" s="64" t="s">
        <v>230</v>
      </c>
      <c r="E642" s="77" t="s">
        <v>111</v>
      </c>
      <c r="F642" s="95">
        <v>2580</v>
      </c>
      <c r="G642" s="71">
        <v>1</v>
      </c>
      <c r="H642" s="71">
        <f t="shared" ref="H642:H650" si="15">F642*G642</f>
        <v>2580</v>
      </c>
      <c r="I642" s="134"/>
      <c r="J642" s="68"/>
      <c r="K642" s="266"/>
      <c r="L642" s="266"/>
    </row>
    <row r="643" spans="1:12" s="96" customFormat="1" ht="15" customHeight="1" x14ac:dyDescent="0.2">
      <c r="A643" s="213"/>
      <c r="B643" s="159"/>
      <c r="C643" s="54"/>
      <c r="D643" s="64" t="s">
        <v>231</v>
      </c>
      <c r="E643" s="77" t="s">
        <v>113</v>
      </c>
      <c r="F643" s="95">
        <v>1040</v>
      </c>
      <c r="G643" s="71">
        <v>10</v>
      </c>
      <c r="H643" s="71">
        <f>F643*G643</f>
        <v>10400</v>
      </c>
      <c r="I643" s="134"/>
      <c r="J643" s="68"/>
      <c r="K643" s="266"/>
      <c r="L643" s="266"/>
    </row>
    <row r="644" spans="1:12" s="96" customFormat="1" ht="15" customHeight="1" x14ac:dyDescent="0.2">
      <c r="A644" s="213"/>
      <c r="B644" s="159"/>
      <c r="C644" s="54"/>
      <c r="D644" s="64" t="s">
        <v>232</v>
      </c>
      <c r="E644" s="77" t="s">
        <v>113</v>
      </c>
      <c r="F644" s="95">
        <v>550</v>
      </c>
      <c r="G644" s="71">
        <f>J3</f>
        <v>50</v>
      </c>
      <c r="H644" s="71">
        <f>F644*G644</f>
        <v>27500</v>
      </c>
      <c r="I644" s="134"/>
      <c r="J644" s="68"/>
      <c r="K644" s="266"/>
      <c r="L644" s="266"/>
    </row>
    <row r="645" spans="1:12" s="96" customFormat="1" ht="15" customHeight="1" x14ac:dyDescent="0.2">
      <c r="A645" s="213"/>
      <c r="B645" s="159"/>
      <c r="C645" s="54"/>
      <c r="D645" s="64" t="s">
        <v>351</v>
      </c>
      <c r="E645" s="77" t="s">
        <v>113</v>
      </c>
      <c r="F645" s="95">
        <v>4160</v>
      </c>
      <c r="G645" s="71">
        <v>3</v>
      </c>
      <c r="H645" s="71">
        <f>F645*G645</f>
        <v>12480</v>
      </c>
      <c r="I645" s="134"/>
      <c r="J645" s="68"/>
      <c r="K645" s="266"/>
      <c r="L645" s="266"/>
    </row>
    <row r="646" spans="1:12" s="96" customFormat="1" ht="15" customHeight="1" x14ac:dyDescent="0.2">
      <c r="A646" s="213"/>
      <c r="B646" s="159"/>
      <c r="C646" s="54"/>
      <c r="D646" s="64" t="s">
        <v>352</v>
      </c>
      <c r="E646" s="77" t="s">
        <v>113</v>
      </c>
      <c r="F646" s="95">
        <v>950</v>
      </c>
      <c r="G646" s="71">
        <v>2</v>
      </c>
      <c r="H646" s="71">
        <f>F646*G646</f>
        <v>1900</v>
      </c>
      <c r="I646" s="134"/>
      <c r="J646" s="68"/>
      <c r="K646" s="266"/>
      <c r="L646" s="266"/>
    </row>
    <row r="647" spans="1:12" s="96" customFormat="1" ht="15" customHeight="1" x14ac:dyDescent="0.2">
      <c r="A647" s="213"/>
      <c r="B647" s="159"/>
      <c r="C647" s="54"/>
      <c r="D647" s="64" t="s">
        <v>236</v>
      </c>
      <c r="E647" s="77" t="s">
        <v>113</v>
      </c>
      <c r="F647" s="95">
        <v>11370</v>
      </c>
      <c r="G647" s="71">
        <v>5</v>
      </c>
      <c r="H647" s="71">
        <f t="shared" si="15"/>
        <v>56850</v>
      </c>
      <c r="I647" s="134"/>
      <c r="J647" s="68"/>
      <c r="K647" s="266"/>
      <c r="L647" s="266"/>
    </row>
    <row r="648" spans="1:12" s="96" customFormat="1" ht="15" customHeight="1" x14ac:dyDescent="0.2">
      <c r="A648" s="213"/>
      <c r="B648" s="265"/>
      <c r="C648" s="54"/>
      <c r="D648" s="323" t="s">
        <v>233</v>
      </c>
      <c r="E648" s="77" t="s">
        <v>24</v>
      </c>
      <c r="F648" s="95">
        <v>1040</v>
      </c>
      <c r="G648" s="71">
        <v>10</v>
      </c>
      <c r="H648" s="71">
        <f t="shared" si="15"/>
        <v>10400</v>
      </c>
      <c r="I648" s="266"/>
      <c r="J648" s="68"/>
      <c r="K648" s="266"/>
      <c r="L648" s="266"/>
    </row>
    <row r="649" spans="1:12" s="96" customFormat="1" ht="15" customHeight="1" x14ac:dyDescent="0.2">
      <c r="A649" s="213"/>
      <c r="B649" s="265"/>
      <c r="C649" s="54"/>
      <c r="D649" s="64" t="s">
        <v>234</v>
      </c>
      <c r="E649" s="77" t="s">
        <v>24</v>
      </c>
      <c r="F649" s="95">
        <v>500</v>
      </c>
      <c r="G649" s="71">
        <f>G644</f>
        <v>50</v>
      </c>
      <c r="H649" s="71">
        <f>+F649*G649</f>
        <v>25000</v>
      </c>
      <c r="I649" s="135"/>
      <c r="J649" s="69"/>
      <c r="K649" s="266"/>
      <c r="L649" s="266"/>
    </row>
    <row r="650" spans="1:12" s="96" customFormat="1" ht="15" customHeight="1" x14ac:dyDescent="0.2">
      <c r="A650" s="213"/>
      <c r="B650" s="159"/>
      <c r="C650" s="54"/>
      <c r="D650" s="64" t="s">
        <v>237</v>
      </c>
      <c r="E650" s="77" t="s">
        <v>186</v>
      </c>
      <c r="F650" s="95">
        <v>105</v>
      </c>
      <c r="G650" s="71">
        <f>SUM(G642:G649)</f>
        <v>131</v>
      </c>
      <c r="H650" s="71">
        <f t="shared" si="15"/>
        <v>13755</v>
      </c>
      <c r="I650" s="79">
        <v>0</v>
      </c>
      <c r="J650" s="79">
        <f>SUM(H642:H650)</f>
        <v>160865</v>
      </c>
      <c r="K650" s="266"/>
      <c r="L650" s="266"/>
    </row>
    <row r="651" spans="1:12" s="63" customFormat="1" ht="15" customHeight="1" x14ac:dyDescent="0.2">
      <c r="A651" s="214"/>
      <c r="B651" s="161"/>
      <c r="C651" s="62"/>
      <c r="D651" s="198" t="s">
        <v>89</v>
      </c>
      <c r="E651" s="120"/>
      <c r="F651" s="67"/>
      <c r="G651" s="123"/>
      <c r="H651" s="24"/>
      <c r="I651" s="136"/>
      <c r="J651" s="130"/>
      <c r="K651" s="266"/>
      <c r="L651" s="266"/>
    </row>
    <row r="652" spans="1:12" s="76" customFormat="1" ht="15" customHeight="1" x14ac:dyDescent="0.2">
      <c r="A652" s="213"/>
      <c r="B652" s="159"/>
      <c r="C652" s="54"/>
      <c r="D652" s="64" t="s">
        <v>185</v>
      </c>
      <c r="E652" s="77" t="s">
        <v>59</v>
      </c>
      <c r="F652" s="95">
        <v>15000</v>
      </c>
      <c r="G652" s="71">
        <v>4.5</v>
      </c>
      <c r="H652" s="71">
        <f>F652*G652</f>
        <v>67500</v>
      </c>
      <c r="I652" s="79">
        <v>0</v>
      </c>
      <c r="J652" s="79">
        <f>+I652+H652</f>
        <v>67500</v>
      </c>
      <c r="K652" s="266"/>
      <c r="L652" s="266"/>
    </row>
    <row r="653" spans="1:12" s="76" customFormat="1" ht="15" customHeight="1" x14ac:dyDescent="0.2">
      <c r="A653" s="213"/>
      <c r="B653" s="159"/>
      <c r="C653" s="54"/>
      <c r="D653" s="391" t="s">
        <v>278</v>
      </c>
      <c r="E653" s="77" t="s">
        <v>180</v>
      </c>
      <c r="F653" s="95">
        <v>2200</v>
      </c>
      <c r="G653" s="71">
        <f>G652*4</f>
        <v>18</v>
      </c>
      <c r="H653" s="71">
        <f>F653*G653</f>
        <v>39600</v>
      </c>
      <c r="I653" s="79">
        <f>+H653*21%</f>
        <v>8316</v>
      </c>
      <c r="J653" s="79">
        <f>+I653+H653</f>
        <v>47916</v>
      </c>
      <c r="K653" s="266"/>
      <c r="L653" s="266"/>
    </row>
    <row r="654" spans="1:12" s="76" customFormat="1" ht="15" customHeight="1" x14ac:dyDescent="0.2">
      <c r="A654" s="213"/>
      <c r="B654" s="159"/>
      <c r="C654" s="54"/>
      <c r="D654" s="418" t="s">
        <v>187</v>
      </c>
      <c r="E654" s="416" t="s">
        <v>180</v>
      </c>
      <c r="F654" s="419">
        <v>1200</v>
      </c>
      <c r="G654" s="116">
        <f>G653</f>
        <v>18</v>
      </c>
      <c r="H654" s="116">
        <f>F654*G654</f>
        <v>21600</v>
      </c>
      <c r="I654" s="417"/>
      <c r="J654" s="417">
        <f>+I654+H654</f>
        <v>21600</v>
      </c>
      <c r="K654" s="266"/>
      <c r="L654" s="266"/>
    </row>
    <row r="655" spans="1:12" s="44" customFormat="1" ht="15" customHeight="1" x14ac:dyDescent="0.2">
      <c r="A655" s="211"/>
      <c r="B655" s="156"/>
      <c r="C655" s="145">
        <f>SUM(C635:C654)</f>
        <v>0</v>
      </c>
      <c r="D655" s="111"/>
      <c r="E655" s="85"/>
      <c r="F655" s="473" t="s">
        <v>68</v>
      </c>
      <c r="G655" s="474"/>
      <c r="H655" s="246">
        <f>SUM(H636:H654)</f>
        <v>2110565</v>
      </c>
      <c r="I655" s="245">
        <f>SUM(I636:I654)</f>
        <v>283626</v>
      </c>
      <c r="J655" s="245">
        <f>SUM(J635:J654)</f>
        <v>2394191</v>
      </c>
      <c r="K655" s="266"/>
      <c r="L655" s="266"/>
    </row>
    <row r="656" spans="1:12" s="42" customFormat="1" ht="30" customHeight="1" x14ac:dyDescent="0.2">
      <c r="A656" s="207"/>
      <c r="B656" s="152"/>
      <c r="C656" s="55"/>
      <c r="D656" s="6"/>
      <c r="E656" s="7"/>
      <c r="F656" s="8"/>
      <c r="G656" s="8"/>
      <c r="H656" s="9"/>
      <c r="I656" s="43"/>
      <c r="J656" s="43"/>
      <c r="K656" s="266"/>
      <c r="L656" s="266"/>
    </row>
    <row r="657" spans="1:12" s="44" customFormat="1" ht="15" customHeight="1" x14ac:dyDescent="0.2">
      <c r="A657" s="211"/>
      <c r="B657" s="158"/>
      <c r="C657" s="228">
        <v>12</v>
      </c>
      <c r="D657" s="233" t="s">
        <v>96</v>
      </c>
      <c r="E657" s="241" t="s">
        <v>74</v>
      </c>
      <c r="F657" s="242" t="s">
        <v>39</v>
      </c>
      <c r="G657" s="243" t="s">
        <v>40</v>
      </c>
      <c r="H657" s="240" t="s">
        <v>53</v>
      </c>
      <c r="I657" s="244" t="s">
        <v>55</v>
      </c>
      <c r="J657" s="244" t="s">
        <v>121</v>
      </c>
      <c r="K657" s="266"/>
      <c r="L657" s="266"/>
    </row>
    <row r="658" spans="1:12" ht="15" customHeight="1" x14ac:dyDescent="0.2">
      <c r="A658" s="207"/>
      <c r="B658" s="162"/>
      <c r="C658" s="54"/>
      <c r="D658" s="196" t="s">
        <v>98</v>
      </c>
      <c r="E658" s="77" t="s">
        <v>111</v>
      </c>
      <c r="F658" s="3">
        <v>30000</v>
      </c>
      <c r="G658" s="2">
        <v>1</v>
      </c>
      <c r="H658" s="52">
        <f>F658*G658</f>
        <v>30000</v>
      </c>
      <c r="I658" s="131">
        <f>+H658*21%</f>
        <v>6300</v>
      </c>
      <c r="J658" s="131">
        <f>H658</f>
        <v>30000</v>
      </c>
      <c r="K658" s="266"/>
      <c r="L658" s="266"/>
    </row>
    <row r="659" spans="1:12" ht="15" customHeight="1" x14ac:dyDescent="0.2">
      <c r="A659" s="207"/>
      <c r="B659" s="162"/>
      <c r="C659" s="54"/>
      <c r="D659" s="196" t="s">
        <v>89</v>
      </c>
      <c r="E659" s="77" t="s">
        <v>111</v>
      </c>
      <c r="F659" s="3">
        <v>0</v>
      </c>
      <c r="G659" s="2">
        <v>1</v>
      </c>
      <c r="H659" s="52">
        <f>F659*G659</f>
        <v>0</v>
      </c>
      <c r="I659" s="131">
        <v>0</v>
      </c>
      <c r="J659" s="131">
        <f>H659</f>
        <v>0</v>
      </c>
      <c r="K659" s="266"/>
      <c r="L659" s="266"/>
    </row>
    <row r="660" spans="1:12" s="44" customFormat="1" ht="15" customHeight="1" x14ac:dyDescent="0.2">
      <c r="A660" s="211"/>
      <c r="B660" s="156"/>
      <c r="C660" s="112">
        <f>SUM(C658:C659)</f>
        <v>0</v>
      </c>
      <c r="D660" s="111"/>
      <c r="E660" s="85"/>
      <c r="F660" s="473" t="s">
        <v>12</v>
      </c>
      <c r="G660" s="474"/>
      <c r="H660" s="246">
        <f>SUM(H658:H659)</f>
        <v>30000</v>
      </c>
      <c r="I660" s="245">
        <f>SUM(I658:I659)</f>
        <v>6300</v>
      </c>
      <c r="J660" s="245">
        <f>SUM(J658:J659)</f>
        <v>30000</v>
      </c>
      <c r="K660" s="266"/>
      <c r="L660" s="266"/>
    </row>
    <row r="661" spans="1:12" s="42" customFormat="1" ht="30" customHeight="1" x14ac:dyDescent="0.2">
      <c r="A661" s="207"/>
      <c r="B661" s="152"/>
      <c r="C661" s="55"/>
      <c r="D661" s="6"/>
      <c r="E661" s="7"/>
      <c r="F661" s="8"/>
      <c r="G661" s="8"/>
      <c r="H661" s="9"/>
      <c r="I661" s="43"/>
      <c r="J661" s="43"/>
      <c r="K661" s="266"/>
      <c r="L661" s="266"/>
    </row>
    <row r="662" spans="1:12" s="44" customFormat="1" ht="15" customHeight="1" x14ac:dyDescent="0.2">
      <c r="A662" s="211"/>
      <c r="B662" s="158"/>
      <c r="C662" s="228">
        <v>13</v>
      </c>
      <c r="D662" s="233" t="s">
        <v>7</v>
      </c>
      <c r="E662" s="241" t="s">
        <v>74</v>
      </c>
      <c r="F662" s="242" t="s">
        <v>39</v>
      </c>
      <c r="G662" s="243" t="s">
        <v>40</v>
      </c>
      <c r="H662" s="240" t="s">
        <v>53</v>
      </c>
      <c r="I662" s="244" t="s">
        <v>55</v>
      </c>
      <c r="J662" s="244" t="s">
        <v>121</v>
      </c>
      <c r="K662" s="266"/>
      <c r="L662" s="266"/>
    </row>
    <row r="663" spans="1:12" ht="15" customHeight="1" x14ac:dyDescent="0.2">
      <c r="A663" s="207"/>
      <c r="B663" s="155"/>
      <c r="C663" s="54"/>
      <c r="D663" s="434" t="s">
        <v>298</v>
      </c>
      <c r="E663" s="416" t="s">
        <v>111</v>
      </c>
      <c r="F663" s="435">
        <v>170700</v>
      </c>
      <c r="G663" s="436">
        <v>1</v>
      </c>
      <c r="H663" s="436">
        <f>+F663*G663</f>
        <v>170700</v>
      </c>
      <c r="I663" s="417">
        <v>0</v>
      </c>
      <c r="J663" s="417">
        <f>H663+I663</f>
        <v>170700</v>
      </c>
      <c r="K663" s="266"/>
      <c r="L663" s="266"/>
    </row>
    <row r="664" spans="1:12" ht="15" customHeight="1" x14ac:dyDescent="0.2">
      <c r="A664" s="207"/>
      <c r="B664" s="319"/>
      <c r="C664" s="54"/>
      <c r="D664" s="402" t="s">
        <v>300</v>
      </c>
      <c r="E664" s="379"/>
      <c r="F664" s="382"/>
      <c r="G664" s="25"/>
      <c r="H664" s="25"/>
      <c r="I664" s="400"/>
      <c r="J664" s="400"/>
      <c r="K664" s="266"/>
      <c r="L664" s="266"/>
    </row>
    <row r="665" spans="1:12" ht="15" customHeight="1" x14ac:dyDescent="0.2">
      <c r="A665" s="207"/>
      <c r="B665" s="155"/>
      <c r="C665" s="54"/>
      <c r="D665" s="434" t="s">
        <v>299</v>
      </c>
      <c r="E665" s="416" t="s">
        <v>111</v>
      </c>
      <c r="F665" s="435">
        <v>60000</v>
      </c>
      <c r="G665" s="436">
        <v>1</v>
      </c>
      <c r="H665" s="436">
        <f>+F665*G665</f>
        <v>60000</v>
      </c>
      <c r="I665" s="417">
        <v>0</v>
      </c>
      <c r="J665" s="417">
        <f>H665+I665</f>
        <v>60000</v>
      </c>
      <c r="K665" s="266"/>
      <c r="L665" s="266"/>
    </row>
    <row r="666" spans="1:12" ht="15" customHeight="1" x14ac:dyDescent="0.2">
      <c r="A666" s="207"/>
      <c r="B666" s="319"/>
      <c r="C666" s="54"/>
      <c r="D666" s="397"/>
      <c r="E666" s="379"/>
      <c r="F666" s="382"/>
      <c r="G666" s="25"/>
      <c r="H666" s="25"/>
      <c r="I666" s="400"/>
      <c r="J666" s="400"/>
      <c r="K666" s="266"/>
      <c r="L666" s="266"/>
    </row>
    <row r="667" spans="1:12" ht="15" customHeight="1" x14ac:dyDescent="0.2">
      <c r="A667" s="207"/>
      <c r="B667" s="155"/>
      <c r="C667" s="54"/>
      <c r="D667" s="196" t="s">
        <v>65</v>
      </c>
      <c r="E667" s="77" t="s">
        <v>111</v>
      </c>
      <c r="F667" s="24">
        <v>0</v>
      </c>
      <c r="G667" s="25">
        <v>1</v>
      </c>
      <c r="H667" s="25">
        <f>+F667*G667</f>
        <v>0</v>
      </c>
      <c r="I667" s="79">
        <v>0</v>
      </c>
      <c r="J667" s="79">
        <f>H667+I667</f>
        <v>0</v>
      </c>
      <c r="K667" s="266"/>
      <c r="L667" s="266"/>
    </row>
    <row r="668" spans="1:12" s="44" customFormat="1" ht="15" customHeight="1" x14ac:dyDescent="0.2">
      <c r="A668" s="211"/>
      <c r="B668" s="156"/>
      <c r="C668" s="112">
        <f>SUM(C663:C667)</f>
        <v>0</v>
      </c>
      <c r="D668" s="111"/>
      <c r="E668" s="85"/>
      <c r="F668" s="473" t="s">
        <v>94</v>
      </c>
      <c r="G668" s="474"/>
      <c r="H668" s="246">
        <f>SUM(H663:H667)</f>
        <v>230700</v>
      </c>
      <c r="I668" s="245">
        <f>SUM(I663:I667)</f>
        <v>0</v>
      </c>
      <c r="J668" s="245">
        <f>SUM(J663:J667)</f>
        <v>230700</v>
      </c>
      <c r="K668" s="266"/>
      <c r="L668" s="266"/>
    </row>
    <row r="669" spans="1:12" s="42" customFormat="1" ht="30" customHeight="1" x14ac:dyDescent="0.2">
      <c r="A669" s="207"/>
      <c r="B669" s="152"/>
      <c r="C669" s="55"/>
      <c r="D669" s="6"/>
      <c r="E669" s="7"/>
      <c r="F669" s="8"/>
      <c r="G669" s="8"/>
      <c r="H669" s="9"/>
      <c r="I669" s="43"/>
      <c r="J669" s="43"/>
      <c r="K669" s="266"/>
      <c r="L669" s="266"/>
    </row>
    <row r="670" spans="1:12" s="44" customFormat="1" ht="15" customHeight="1" x14ac:dyDescent="0.2">
      <c r="A670" s="211"/>
      <c r="B670" s="158"/>
      <c r="C670" s="228">
        <v>14</v>
      </c>
      <c r="D670" s="233" t="s">
        <v>15</v>
      </c>
      <c r="E670" s="241" t="s">
        <v>74</v>
      </c>
      <c r="F670" s="242" t="s">
        <v>39</v>
      </c>
      <c r="G670" s="243" t="s">
        <v>40</v>
      </c>
      <c r="H670" s="240" t="s">
        <v>53</v>
      </c>
      <c r="I670" s="244" t="s">
        <v>55</v>
      </c>
      <c r="J670" s="244" t="s">
        <v>121</v>
      </c>
      <c r="K670" s="266"/>
      <c r="L670" s="266"/>
    </row>
    <row r="671" spans="1:12" s="142" customFormat="1" ht="15" customHeight="1" x14ac:dyDescent="0.2">
      <c r="A671" s="213"/>
      <c r="B671" s="180"/>
      <c r="C671" s="54"/>
      <c r="D671" s="202" t="s">
        <v>132</v>
      </c>
      <c r="E671" s="172"/>
      <c r="F671" s="173"/>
      <c r="G671" s="89"/>
      <c r="H671" s="73"/>
      <c r="I671" s="136"/>
      <c r="J671" s="130"/>
      <c r="K671" s="266"/>
      <c r="L671" s="266"/>
    </row>
    <row r="672" spans="1:12" s="76" customFormat="1" ht="15" customHeight="1" x14ac:dyDescent="0.2">
      <c r="A672" s="213"/>
      <c r="B672" s="159"/>
      <c r="C672" s="54"/>
      <c r="D672" s="391" t="s">
        <v>319</v>
      </c>
      <c r="E672" s="403" t="s">
        <v>279</v>
      </c>
      <c r="F672" s="404">
        <v>10000</v>
      </c>
      <c r="G672" s="71">
        <v>10</v>
      </c>
      <c r="H672" s="71">
        <f>+F672*G672</f>
        <v>100000</v>
      </c>
      <c r="I672" s="79">
        <f>+H672*21%</f>
        <v>21000</v>
      </c>
      <c r="J672" s="79">
        <f>H672+I672</f>
        <v>121000</v>
      </c>
      <c r="K672" s="266"/>
      <c r="L672" s="266"/>
    </row>
    <row r="673" spans="1:12" s="76" customFormat="1" ht="15" customHeight="1" x14ac:dyDescent="0.2">
      <c r="A673" s="302"/>
      <c r="B673" s="265"/>
      <c r="C673" s="54"/>
      <c r="D673" s="391" t="s">
        <v>320</v>
      </c>
      <c r="E673" s="403" t="s">
        <v>188</v>
      </c>
      <c r="F673" s="405">
        <v>4500</v>
      </c>
      <c r="G673" s="380">
        <v>4</v>
      </c>
      <c r="H673" s="71">
        <f>+F673*G673</f>
        <v>18000</v>
      </c>
      <c r="I673" s="79">
        <f>+H673*21%</f>
        <v>3780</v>
      </c>
      <c r="J673" s="79">
        <f>H673+I673</f>
        <v>21780</v>
      </c>
      <c r="K673" s="266"/>
      <c r="L673" s="266"/>
    </row>
    <row r="674" spans="1:12" s="76" customFormat="1" ht="15" customHeight="1" x14ac:dyDescent="0.2">
      <c r="A674" s="213"/>
      <c r="B674" s="159"/>
      <c r="C674" s="54"/>
      <c r="D674" s="391" t="s">
        <v>281</v>
      </c>
      <c r="E674" s="403" t="s">
        <v>280</v>
      </c>
      <c r="F674" s="404">
        <v>3000</v>
      </c>
      <c r="G674" s="71">
        <v>3</v>
      </c>
      <c r="H674" s="91">
        <f>+F674*G674</f>
        <v>9000</v>
      </c>
      <c r="I674" s="79">
        <f>+H674*21%</f>
        <v>1890</v>
      </c>
      <c r="J674" s="79">
        <f>H674+I674</f>
        <v>10890</v>
      </c>
      <c r="K674" s="266"/>
      <c r="L674" s="266"/>
    </row>
    <row r="675" spans="1:12" s="142" customFormat="1" ht="15" customHeight="1" x14ac:dyDescent="0.2">
      <c r="A675" s="213"/>
      <c r="B675" s="174"/>
      <c r="C675" s="54"/>
      <c r="D675" s="196" t="s">
        <v>100</v>
      </c>
      <c r="E675" s="77" t="s">
        <v>111</v>
      </c>
      <c r="F675" s="71">
        <v>0</v>
      </c>
      <c r="G675" s="91">
        <v>0</v>
      </c>
      <c r="H675" s="91">
        <f>+F675*G675</f>
        <v>0</v>
      </c>
      <c r="I675" s="79">
        <f>+H675*21%</f>
        <v>0</v>
      </c>
      <c r="J675" s="79">
        <f>H675+I675</f>
        <v>0</v>
      </c>
      <c r="K675" s="266"/>
      <c r="L675" s="266"/>
    </row>
    <row r="676" spans="1:12" s="44" customFormat="1" ht="15" customHeight="1" x14ac:dyDescent="0.2">
      <c r="A676" s="211"/>
      <c r="B676" s="156"/>
      <c r="C676" s="112">
        <f>SUM(C671:C675)</f>
        <v>0</v>
      </c>
      <c r="D676" s="111"/>
      <c r="E676" s="85"/>
      <c r="F676" s="473" t="s">
        <v>93</v>
      </c>
      <c r="G676" s="474"/>
      <c r="H676" s="246">
        <f>SUM(H672:H675)</f>
        <v>127000</v>
      </c>
      <c r="I676" s="245">
        <f>SUM(I672:I675)</f>
        <v>26670</v>
      </c>
      <c r="J676" s="245">
        <f>SUM(J672:J675)</f>
        <v>153670</v>
      </c>
      <c r="K676" s="266"/>
      <c r="L676" s="266"/>
    </row>
    <row r="677" spans="1:12" s="42" customFormat="1" ht="30" customHeight="1" x14ac:dyDescent="0.2">
      <c r="A677" s="207"/>
      <c r="B677" s="152"/>
      <c r="C677" s="55"/>
      <c r="D677" s="6"/>
      <c r="E677" s="7"/>
      <c r="F677" s="8"/>
      <c r="G677" s="8"/>
      <c r="H677" s="9"/>
      <c r="I677" s="43"/>
      <c r="J677" s="43"/>
      <c r="K677" s="266"/>
      <c r="L677" s="266"/>
    </row>
    <row r="678" spans="1:12" s="44" customFormat="1" ht="15" customHeight="1" x14ac:dyDescent="0.2">
      <c r="A678" s="211"/>
      <c r="B678" s="158"/>
      <c r="C678" s="228">
        <v>15</v>
      </c>
      <c r="D678" s="233" t="s">
        <v>211</v>
      </c>
      <c r="E678" s="241" t="s">
        <v>74</v>
      </c>
      <c r="F678" s="242" t="s">
        <v>39</v>
      </c>
      <c r="G678" s="243" t="s">
        <v>40</v>
      </c>
      <c r="H678" s="240" t="s">
        <v>53</v>
      </c>
      <c r="I678" s="244" t="s">
        <v>55</v>
      </c>
      <c r="J678" s="244" t="s">
        <v>121</v>
      </c>
      <c r="K678" s="266"/>
      <c r="L678" s="266"/>
    </row>
    <row r="679" spans="1:12" s="142" customFormat="1" ht="15" customHeight="1" x14ac:dyDescent="0.2">
      <c r="A679" s="213"/>
      <c r="B679" s="174"/>
      <c r="C679" s="54"/>
      <c r="D679" s="312" t="s">
        <v>212</v>
      </c>
      <c r="E679" s="172"/>
      <c r="F679" s="173"/>
      <c r="G679" s="89"/>
      <c r="H679" s="73"/>
      <c r="I679" s="136"/>
      <c r="J679" s="130"/>
      <c r="K679" s="266"/>
      <c r="L679" s="266"/>
    </row>
    <row r="680" spans="1:12" s="142" customFormat="1" ht="15" customHeight="1" x14ac:dyDescent="0.2">
      <c r="A680" s="213"/>
      <c r="B680" s="174"/>
      <c r="C680" s="54"/>
      <c r="D680" s="406" t="s">
        <v>303</v>
      </c>
      <c r="E680" s="172"/>
      <c r="F680" s="73"/>
      <c r="G680" s="89"/>
      <c r="H680" s="75"/>
      <c r="I680" s="134"/>
      <c r="J680" s="68"/>
      <c r="K680" s="266"/>
      <c r="L680" s="266"/>
    </row>
    <row r="681" spans="1:12" s="142" customFormat="1" ht="15" customHeight="1" x14ac:dyDescent="0.2">
      <c r="A681" s="213"/>
      <c r="B681" s="174"/>
      <c r="C681" s="54"/>
      <c r="D681" s="406" t="s">
        <v>304</v>
      </c>
      <c r="E681" s="172"/>
      <c r="F681" s="73"/>
      <c r="G681" s="89"/>
      <c r="H681" s="75"/>
      <c r="I681" s="134"/>
      <c r="J681" s="68"/>
      <c r="K681" s="266"/>
      <c r="L681" s="266"/>
    </row>
    <row r="682" spans="1:12" s="142" customFormat="1" ht="15" customHeight="1" x14ac:dyDescent="0.2">
      <c r="A682" s="213"/>
      <c r="B682" s="174"/>
      <c r="C682" s="54"/>
      <c r="D682" s="178"/>
      <c r="E682" s="66" t="s">
        <v>206</v>
      </c>
      <c r="F682" s="71">
        <v>240000</v>
      </c>
      <c r="G682" s="71">
        <v>4.5</v>
      </c>
      <c r="H682" s="71">
        <f>+F682*G682</f>
        <v>1080000</v>
      </c>
      <c r="I682" s="79">
        <f>H682*21%</f>
        <v>226800</v>
      </c>
      <c r="J682" s="79">
        <f>H682+I682</f>
        <v>1306800</v>
      </c>
      <c r="K682" s="266"/>
      <c r="L682" s="266"/>
    </row>
    <row r="683" spans="1:12" s="142" customFormat="1" ht="15" customHeight="1" x14ac:dyDescent="0.2">
      <c r="A683" s="302"/>
      <c r="B683" s="320"/>
      <c r="C683" s="54"/>
      <c r="D683" s="437" t="s">
        <v>301</v>
      </c>
      <c r="E683" s="172"/>
      <c r="F683" s="173"/>
      <c r="G683" s="89"/>
      <c r="H683" s="73"/>
      <c r="I683" s="136"/>
      <c r="J683" s="130"/>
      <c r="K683" s="266"/>
      <c r="L683" s="266"/>
    </row>
    <row r="684" spans="1:12" s="142" customFormat="1" ht="15" customHeight="1" x14ac:dyDescent="0.2">
      <c r="A684" s="302"/>
      <c r="B684" s="320"/>
      <c r="C684" s="54"/>
      <c r="D684" s="407" t="s">
        <v>302</v>
      </c>
      <c r="E684" s="438" t="s">
        <v>73</v>
      </c>
      <c r="F684" s="71">
        <v>120000</v>
      </c>
      <c r="G684" s="71">
        <v>1</v>
      </c>
      <c r="H684" s="71">
        <f>+F684*G684</f>
        <v>120000</v>
      </c>
      <c r="I684" s="79">
        <f>H684*21%</f>
        <v>25200</v>
      </c>
      <c r="J684" s="79">
        <f>H684+I684</f>
        <v>145200</v>
      </c>
      <c r="K684" s="266"/>
      <c r="L684" s="266"/>
    </row>
    <row r="685" spans="1:12" s="142" customFormat="1" ht="15" customHeight="1" x14ac:dyDescent="0.2">
      <c r="A685" s="213"/>
      <c r="B685" s="174"/>
      <c r="C685" s="54"/>
      <c r="D685" s="437" t="s">
        <v>305</v>
      </c>
      <c r="E685" s="172"/>
      <c r="F685" s="173"/>
      <c r="G685" s="89"/>
      <c r="H685" s="73"/>
      <c r="I685" s="136"/>
      <c r="J685" s="130"/>
      <c r="K685" s="266"/>
      <c r="L685" s="266"/>
    </row>
    <row r="686" spans="1:12" s="142" customFormat="1" ht="15" customHeight="1" x14ac:dyDescent="0.2">
      <c r="A686" s="213"/>
      <c r="B686" s="174"/>
      <c r="C686" s="54"/>
      <c r="D686" s="407" t="s">
        <v>306</v>
      </c>
      <c r="E686" s="66" t="s">
        <v>213</v>
      </c>
      <c r="F686" s="71">
        <v>21000</v>
      </c>
      <c r="G686" s="71">
        <v>10</v>
      </c>
      <c r="H686" s="71">
        <f>+F686*G686</f>
        <v>210000</v>
      </c>
      <c r="I686" s="79">
        <f>H686*21%</f>
        <v>44100</v>
      </c>
      <c r="J686" s="79">
        <f>H686+I686</f>
        <v>254100</v>
      </c>
      <c r="K686" s="266"/>
      <c r="L686" s="266"/>
    </row>
    <row r="687" spans="1:12" s="44" customFormat="1" ht="15" customHeight="1" x14ac:dyDescent="0.2">
      <c r="A687" s="211"/>
      <c r="B687" s="156"/>
      <c r="C687" s="112">
        <f>SUM(C682:C686)</f>
        <v>0</v>
      </c>
      <c r="D687" s="111"/>
      <c r="E687" s="85"/>
      <c r="F687" s="473" t="s">
        <v>18</v>
      </c>
      <c r="G687" s="474"/>
      <c r="H687" s="246">
        <f>SUM(H682:H686)</f>
        <v>1410000</v>
      </c>
      <c r="I687" s="245">
        <f>SUM(I679:I686)</f>
        <v>296100</v>
      </c>
      <c r="J687" s="245">
        <f>SUM(J679:J686)</f>
        <v>1706100</v>
      </c>
      <c r="K687" s="266"/>
      <c r="L687" s="266"/>
    </row>
    <row r="688" spans="1:12" s="42" customFormat="1" ht="30" customHeight="1" x14ac:dyDescent="0.2">
      <c r="A688" s="207"/>
      <c r="B688" s="152"/>
      <c r="C688" s="170"/>
      <c r="D688" s="6"/>
      <c r="E688" s="7"/>
      <c r="F688" s="8"/>
      <c r="G688" s="8"/>
      <c r="H688" s="9"/>
      <c r="I688" s="43"/>
      <c r="J688" s="43"/>
      <c r="K688" s="266"/>
      <c r="L688" s="266"/>
    </row>
    <row r="689" spans="1:12" s="44" customFormat="1" ht="15" customHeight="1" x14ac:dyDescent="0.2">
      <c r="A689" s="211"/>
      <c r="B689" s="158"/>
      <c r="C689" s="228">
        <v>16</v>
      </c>
      <c r="D689" s="233" t="s">
        <v>26</v>
      </c>
      <c r="E689" s="241" t="s">
        <v>90</v>
      </c>
      <c r="F689" s="242" t="s">
        <v>39</v>
      </c>
      <c r="G689" s="243" t="s">
        <v>40</v>
      </c>
      <c r="H689" s="240" t="s">
        <v>33</v>
      </c>
      <c r="I689" s="244" t="s">
        <v>56</v>
      </c>
      <c r="J689" s="244" t="s">
        <v>53</v>
      </c>
      <c r="K689" s="266"/>
      <c r="L689" s="266"/>
    </row>
    <row r="690" spans="1:12" ht="15" customHeight="1" x14ac:dyDescent="0.2">
      <c r="A690" s="207"/>
      <c r="B690" s="155"/>
      <c r="C690" s="53"/>
      <c r="D690" s="203" t="s">
        <v>189</v>
      </c>
      <c r="E690" s="172"/>
      <c r="F690" s="73"/>
      <c r="G690" s="88"/>
      <c r="H690" s="27"/>
      <c r="I690" s="134"/>
      <c r="J690" s="68"/>
      <c r="K690" s="266"/>
      <c r="L690" s="266"/>
    </row>
    <row r="691" spans="1:12" ht="15" customHeight="1" x14ac:dyDescent="0.2">
      <c r="A691" s="207"/>
      <c r="B691" s="155"/>
      <c r="C691" s="53"/>
      <c r="D691" s="408" t="s">
        <v>282</v>
      </c>
      <c r="E691" s="172"/>
      <c r="F691" s="73"/>
      <c r="G691" s="88"/>
      <c r="H691" s="27"/>
      <c r="I691" s="134"/>
      <c r="J691" s="68"/>
      <c r="K691" s="266"/>
      <c r="L691" s="266"/>
    </row>
    <row r="692" spans="1:12" s="142" customFormat="1" ht="15" customHeight="1" x14ac:dyDescent="0.2">
      <c r="A692" s="213"/>
      <c r="B692" s="160"/>
      <c r="C692" s="54"/>
      <c r="D692" s="439" t="s">
        <v>283</v>
      </c>
      <c r="E692" s="77" t="s">
        <v>177</v>
      </c>
      <c r="F692" s="71">
        <v>50000</v>
      </c>
      <c r="G692" s="71">
        <v>10</v>
      </c>
      <c r="H692" s="71">
        <f>+F692*G692</f>
        <v>500000</v>
      </c>
      <c r="I692" s="79">
        <f>H692*21%</f>
        <v>105000</v>
      </c>
      <c r="J692" s="79">
        <f>H692+I692</f>
        <v>605000</v>
      </c>
      <c r="K692" s="266"/>
      <c r="L692" s="266"/>
    </row>
    <row r="693" spans="1:12" s="44" customFormat="1" ht="15" customHeight="1" x14ac:dyDescent="0.2">
      <c r="A693" s="211"/>
      <c r="B693" s="156"/>
      <c r="C693" s="112">
        <f>SUM(C690:C692)</f>
        <v>0</v>
      </c>
      <c r="D693" s="111"/>
      <c r="E693" s="85"/>
      <c r="F693" s="473" t="s">
        <v>238</v>
      </c>
      <c r="G693" s="474"/>
      <c r="H693" s="246">
        <f>SUM(H690:H692)</f>
        <v>500000</v>
      </c>
      <c r="I693" s="245">
        <f>SUM(I690:I692)</f>
        <v>105000</v>
      </c>
      <c r="J693" s="245">
        <f>SUM(J690:J692)</f>
        <v>605000</v>
      </c>
      <c r="K693" s="266"/>
      <c r="L693" s="266"/>
    </row>
    <row r="694" spans="1:12" s="42" customFormat="1" ht="30" customHeight="1" x14ac:dyDescent="0.2">
      <c r="A694" s="207"/>
      <c r="B694" s="152"/>
      <c r="C694" s="55"/>
      <c r="D694" s="6"/>
      <c r="E694" s="7"/>
      <c r="F694" s="8"/>
      <c r="G694" s="8"/>
      <c r="H694" s="9"/>
      <c r="I694" s="43"/>
      <c r="J694" s="43"/>
      <c r="K694" s="266"/>
      <c r="L694" s="266"/>
    </row>
    <row r="695" spans="1:12" s="44" customFormat="1" ht="15" customHeight="1" x14ac:dyDescent="0.2">
      <c r="A695" s="211"/>
      <c r="B695" s="158"/>
      <c r="C695" s="228">
        <v>17</v>
      </c>
      <c r="D695" s="233" t="s">
        <v>251</v>
      </c>
      <c r="E695" s="241" t="s">
        <v>74</v>
      </c>
      <c r="F695" s="242" t="s">
        <v>39</v>
      </c>
      <c r="G695" s="243" t="s">
        <v>40</v>
      </c>
      <c r="H695" s="240" t="s">
        <v>53</v>
      </c>
      <c r="I695" s="244" t="s">
        <v>55</v>
      </c>
      <c r="J695" s="244" t="s">
        <v>121</v>
      </c>
      <c r="K695" s="266"/>
      <c r="L695" s="266"/>
    </row>
    <row r="696" spans="1:12" ht="15" customHeight="1" x14ac:dyDescent="0.2">
      <c r="A696" s="207"/>
      <c r="B696" s="155"/>
      <c r="C696" s="53"/>
      <c r="D696" s="198" t="s">
        <v>240</v>
      </c>
      <c r="E696" s="141"/>
      <c r="F696" s="70"/>
      <c r="G696" s="123"/>
      <c r="H696" s="65"/>
      <c r="I696" s="136"/>
      <c r="J696" s="130"/>
      <c r="K696" s="266"/>
      <c r="L696" s="266"/>
    </row>
    <row r="697" spans="1:12" ht="15" customHeight="1" x14ac:dyDescent="0.2">
      <c r="A697" s="207"/>
      <c r="B697" s="155"/>
      <c r="C697" s="53"/>
      <c r="D697" s="422" t="s">
        <v>321</v>
      </c>
      <c r="E697" s="172"/>
      <c r="F697" s="73"/>
      <c r="G697" s="88"/>
      <c r="H697" s="27"/>
      <c r="I697" s="134"/>
      <c r="J697" s="68"/>
      <c r="K697" s="266"/>
      <c r="L697" s="266"/>
    </row>
    <row r="698" spans="1:12" ht="15" customHeight="1" x14ac:dyDescent="0.2">
      <c r="A698" s="207"/>
      <c r="B698" s="155"/>
      <c r="C698" s="53"/>
      <c r="D698" s="408" t="s">
        <v>239</v>
      </c>
      <c r="E698" s="172"/>
      <c r="F698" s="73"/>
      <c r="G698" s="88"/>
      <c r="H698" s="27"/>
      <c r="I698" s="134"/>
      <c r="J698" s="68"/>
      <c r="K698" s="266"/>
      <c r="L698" s="266"/>
    </row>
    <row r="699" spans="1:12" ht="15" customHeight="1" x14ac:dyDescent="0.2">
      <c r="A699" s="207"/>
      <c r="B699" s="155"/>
      <c r="C699" s="53"/>
      <c r="D699" s="413" t="s">
        <v>285</v>
      </c>
      <c r="E699" s="77" t="s">
        <v>180</v>
      </c>
      <c r="F699" s="71">
        <v>80000</v>
      </c>
      <c r="G699" s="24">
        <v>10</v>
      </c>
      <c r="H699" s="24">
        <f>F699*G699</f>
        <v>800000</v>
      </c>
      <c r="I699" s="79">
        <f>H699*21%</f>
        <v>168000</v>
      </c>
      <c r="J699" s="79">
        <f>H699+I699</f>
        <v>968000</v>
      </c>
      <c r="K699" s="266"/>
      <c r="L699" s="266"/>
    </row>
    <row r="700" spans="1:12" ht="15" customHeight="1" x14ac:dyDescent="0.2">
      <c r="A700" s="207"/>
      <c r="B700" s="155"/>
      <c r="C700" s="53"/>
      <c r="D700" s="199" t="s">
        <v>190</v>
      </c>
      <c r="E700" s="141"/>
      <c r="F700" s="70"/>
      <c r="G700" s="123"/>
      <c r="H700" s="65"/>
      <c r="I700" s="136"/>
      <c r="J700" s="130"/>
      <c r="K700" s="266"/>
      <c r="L700" s="266"/>
    </row>
    <row r="701" spans="1:12" ht="15" customHeight="1" x14ac:dyDescent="0.2">
      <c r="A701" s="207"/>
      <c r="B701" s="155"/>
      <c r="C701" s="53"/>
      <c r="D701" s="475" t="s">
        <v>284</v>
      </c>
      <c r="E701" s="172"/>
      <c r="F701" s="73"/>
      <c r="G701" s="88"/>
      <c r="H701" s="27"/>
      <c r="I701" s="134"/>
      <c r="J701" s="68"/>
      <c r="K701" s="266"/>
      <c r="L701" s="266"/>
    </row>
    <row r="702" spans="1:12" ht="15" customHeight="1" x14ac:dyDescent="0.2">
      <c r="A702" s="207"/>
      <c r="B702" s="155"/>
      <c r="C702" s="53"/>
      <c r="D702" s="476"/>
      <c r="E702" s="222"/>
      <c r="F702" s="97"/>
      <c r="G702" s="25"/>
      <c r="H702" s="27"/>
      <c r="I702" s="134"/>
      <c r="J702" s="68"/>
      <c r="K702" s="266"/>
      <c r="L702" s="266"/>
    </row>
    <row r="703" spans="1:12" ht="76.5" customHeight="1" x14ac:dyDescent="0.2">
      <c r="A703" s="207"/>
      <c r="B703" s="155"/>
      <c r="C703" s="53"/>
      <c r="D703" s="477"/>
      <c r="E703" s="77" t="s">
        <v>180</v>
      </c>
      <c r="F703" s="71">
        <v>12000</v>
      </c>
      <c r="G703" s="24">
        <v>10</v>
      </c>
      <c r="H703" s="24">
        <f>F703*G703</f>
        <v>120000</v>
      </c>
      <c r="I703" s="79">
        <f>H703*21%</f>
        <v>25200</v>
      </c>
      <c r="J703" s="79">
        <f>H703+I703</f>
        <v>145200</v>
      </c>
      <c r="K703" s="266"/>
      <c r="L703" s="266"/>
    </row>
    <row r="704" spans="1:12" ht="15" customHeight="1" x14ac:dyDescent="0.2">
      <c r="A704" s="207"/>
      <c r="B704" s="155"/>
      <c r="C704" s="53"/>
      <c r="D704" s="199" t="s">
        <v>107</v>
      </c>
      <c r="E704" s="141"/>
      <c r="F704" s="70"/>
      <c r="G704" s="123"/>
      <c r="H704" s="65"/>
      <c r="I704" s="136"/>
      <c r="J704" s="130"/>
      <c r="K704" s="266"/>
      <c r="L704" s="266"/>
    </row>
    <row r="705" spans="1:13" ht="15" customHeight="1" x14ac:dyDescent="0.2">
      <c r="A705" s="207"/>
      <c r="B705" s="155"/>
      <c r="C705" s="53"/>
      <c r="D705" s="408" t="s">
        <v>323</v>
      </c>
      <c r="E705" s="172"/>
      <c r="F705" s="73"/>
      <c r="G705" s="88"/>
      <c r="H705" s="27"/>
      <c r="I705" s="134"/>
      <c r="J705" s="68"/>
      <c r="K705" s="266"/>
      <c r="L705" s="266"/>
    </row>
    <row r="706" spans="1:13" ht="15" customHeight="1" x14ac:dyDescent="0.2">
      <c r="A706" s="207"/>
      <c r="B706" s="155"/>
      <c r="C706" s="53"/>
      <c r="D706" s="267" t="s">
        <v>241</v>
      </c>
      <c r="E706" s="222"/>
      <c r="F706" s="97"/>
      <c r="G706" s="88"/>
      <c r="H706" s="27"/>
      <c r="I706" s="135"/>
      <c r="J706" s="69"/>
      <c r="K706" s="266"/>
      <c r="L706" s="266"/>
    </row>
    <row r="707" spans="1:13" ht="15" customHeight="1" x14ac:dyDescent="0.2">
      <c r="A707" s="207"/>
      <c r="B707" s="155"/>
      <c r="C707" s="53"/>
      <c r="D707" s="321" t="s">
        <v>242</v>
      </c>
      <c r="E707" s="77" t="s">
        <v>180</v>
      </c>
      <c r="F707" s="71">
        <v>120000</v>
      </c>
      <c r="G707" s="24">
        <v>10</v>
      </c>
      <c r="H707" s="24">
        <f>F707*G707</f>
        <v>1200000</v>
      </c>
      <c r="I707" s="79">
        <f>H707*21%</f>
        <v>252000</v>
      </c>
      <c r="J707" s="79">
        <f>H707+I707</f>
        <v>1452000</v>
      </c>
      <c r="K707" s="266"/>
      <c r="L707" s="266"/>
    </row>
    <row r="708" spans="1:13" ht="15" customHeight="1" x14ac:dyDescent="0.2">
      <c r="A708" s="207"/>
      <c r="B708" s="155"/>
      <c r="C708" s="53"/>
      <c r="D708" s="199" t="s">
        <v>108</v>
      </c>
      <c r="E708" s="141"/>
      <c r="F708" s="70"/>
      <c r="G708" s="123"/>
      <c r="H708" s="65"/>
      <c r="I708" s="134"/>
      <c r="J708" s="68"/>
      <c r="K708" s="266"/>
      <c r="L708" s="266"/>
      <c r="M708" s="223"/>
    </row>
    <row r="709" spans="1:13" ht="15" customHeight="1" x14ac:dyDescent="0.2">
      <c r="A709" s="207"/>
      <c r="B709" s="155"/>
      <c r="C709" s="53"/>
      <c r="D709" s="267" t="s">
        <v>243</v>
      </c>
      <c r="E709" s="172"/>
      <c r="F709" s="73"/>
      <c r="G709" s="88"/>
      <c r="H709" s="27"/>
      <c r="I709" s="134"/>
      <c r="J709" s="68"/>
      <c r="K709" s="266"/>
      <c r="L709" s="266"/>
    </row>
    <row r="710" spans="1:13" ht="15" customHeight="1" x14ac:dyDescent="0.2">
      <c r="A710" s="207"/>
      <c r="B710" s="155"/>
      <c r="C710" s="53"/>
      <c r="D710" s="408" t="s">
        <v>219</v>
      </c>
      <c r="E710" s="77" t="s">
        <v>180</v>
      </c>
      <c r="F710" s="71">
        <v>10500</v>
      </c>
      <c r="G710" s="24">
        <v>10</v>
      </c>
      <c r="H710" s="24">
        <f>F710*G710</f>
        <v>105000</v>
      </c>
      <c r="I710" s="79">
        <f>H710*21%</f>
        <v>22050</v>
      </c>
      <c r="J710" s="79">
        <f>H710+I710</f>
        <v>127050</v>
      </c>
      <c r="K710" s="266"/>
      <c r="L710" s="266"/>
    </row>
    <row r="711" spans="1:13" ht="15" customHeight="1" x14ac:dyDescent="0.2">
      <c r="A711" s="207"/>
      <c r="B711" s="155"/>
      <c r="C711" s="53"/>
      <c r="D711" s="204" t="s">
        <v>127</v>
      </c>
      <c r="E711" s="120"/>
      <c r="F711" s="67"/>
      <c r="G711" s="123"/>
      <c r="H711" s="24"/>
      <c r="I711" s="139"/>
      <c r="J711" s="78"/>
      <c r="K711" s="266"/>
      <c r="L711" s="266"/>
    </row>
    <row r="712" spans="1:13" ht="15" customHeight="1" x14ac:dyDescent="0.2">
      <c r="A712" s="207"/>
      <c r="B712" s="155"/>
      <c r="C712" s="53"/>
      <c r="D712" s="409" t="s">
        <v>247</v>
      </c>
      <c r="E712" s="66" t="s">
        <v>176</v>
      </c>
      <c r="F712" s="24">
        <v>30000</v>
      </c>
      <c r="G712" s="313">
        <v>1</v>
      </c>
      <c r="H712" s="24">
        <f>+F712*G712</f>
        <v>30000</v>
      </c>
      <c r="I712" s="79">
        <f>H712*21%</f>
        <v>6300</v>
      </c>
      <c r="J712" s="79">
        <f>H712+I712</f>
        <v>36300</v>
      </c>
      <c r="K712" s="266"/>
      <c r="L712" s="266"/>
    </row>
    <row r="713" spans="1:13" s="142" customFormat="1" ht="15" customHeight="1" x14ac:dyDescent="0.2">
      <c r="A713" s="213"/>
      <c r="B713" s="160"/>
      <c r="C713" s="54"/>
      <c r="D713" s="198" t="s">
        <v>32</v>
      </c>
      <c r="E713" s="172"/>
      <c r="F713" s="173"/>
      <c r="G713" s="89"/>
      <c r="H713" s="73"/>
      <c r="I713" s="136"/>
      <c r="J713" s="130"/>
      <c r="K713" s="266"/>
      <c r="L713" s="266"/>
    </row>
    <row r="714" spans="1:13" ht="15" customHeight="1" x14ac:dyDescent="0.2">
      <c r="A714" s="207"/>
      <c r="B714" s="155"/>
      <c r="C714" s="53"/>
      <c r="D714" s="408" t="s">
        <v>290</v>
      </c>
      <c r="E714" s="172"/>
      <c r="F714" s="73"/>
      <c r="G714" s="88"/>
      <c r="H714" s="27"/>
      <c r="I714" s="134"/>
      <c r="J714" s="68"/>
      <c r="K714" s="266"/>
      <c r="L714" s="266"/>
    </row>
    <row r="715" spans="1:13" ht="15" customHeight="1" x14ac:dyDescent="0.2">
      <c r="A715" s="207"/>
      <c r="B715" s="155"/>
      <c r="C715" s="53"/>
      <c r="D715" s="408" t="s">
        <v>291</v>
      </c>
      <c r="E715" s="172"/>
      <c r="F715" s="73"/>
      <c r="G715" s="88"/>
      <c r="H715" s="27"/>
      <c r="I715" s="134"/>
      <c r="J715" s="68"/>
      <c r="K715" s="266"/>
      <c r="L715" s="266"/>
    </row>
    <row r="716" spans="1:13" ht="15" customHeight="1" x14ac:dyDescent="0.2">
      <c r="A716" s="207"/>
      <c r="B716" s="155"/>
      <c r="C716" s="53"/>
      <c r="D716" s="267" t="s">
        <v>244</v>
      </c>
      <c r="E716" s="172"/>
      <c r="F716" s="73"/>
      <c r="G716" s="88"/>
      <c r="H716" s="27"/>
      <c r="I716" s="134"/>
      <c r="J716" s="68"/>
      <c r="K716" s="266"/>
      <c r="L716" s="266"/>
    </row>
    <row r="717" spans="1:13" ht="15" customHeight="1" x14ac:dyDescent="0.2">
      <c r="A717" s="207"/>
      <c r="B717" s="319"/>
      <c r="C717" s="53"/>
      <c r="D717" s="267" t="s">
        <v>245</v>
      </c>
      <c r="E717" s="172"/>
      <c r="F717" s="73"/>
      <c r="G717" s="88"/>
      <c r="H717" s="27"/>
      <c r="I717" s="134"/>
      <c r="J717" s="68"/>
      <c r="K717" s="266"/>
      <c r="L717" s="266"/>
    </row>
    <row r="718" spans="1:13" ht="15" customHeight="1" x14ac:dyDescent="0.2">
      <c r="A718" s="207"/>
      <c r="B718" s="155"/>
      <c r="C718" s="53"/>
      <c r="D718" s="267" t="s">
        <v>246</v>
      </c>
      <c r="E718" s="66" t="s">
        <v>59</v>
      </c>
      <c r="F718" s="71">
        <v>82500</v>
      </c>
      <c r="G718" s="24">
        <v>2.5</v>
      </c>
      <c r="H718" s="24">
        <f>F718*G718</f>
        <v>206250</v>
      </c>
      <c r="I718" s="79">
        <f>H718*21%</f>
        <v>43312.5</v>
      </c>
      <c r="J718" s="79">
        <f>H718+I718</f>
        <v>249562.5</v>
      </c>
      <c r="K718" s="266"/>
      <c r="L718" s="266"/>
    </row>
    <row r="719" spans="1:13" s="142" customFormat="1" ht="15" customHeight="1" x14ac:dyDescent="0.2">
      <c r="A719" s="213"/>
      <c r="B719" s="174"/>
      <c r="C719" s="54"/>
      <c r="D719" s="198" t="s">
        <v>128</v>
      </c>
      <c r="E719" s="172"/>
      <c r="F719" s="173"/>
      <c r="G719" s="89"/>
      <c r="H719" s="73"/>
      <c r="I719" s="136"/>
      <c r="J719" s="130"/>
      <c r="K719" s="266"/>
      <c r="L719" s="266"/>
    </row>
    <row r="720" spans="1:13" s="142" customFormat="1" ht="15" x14ac:dyDescent="0.2">
      <c r="A720" s="213"/>
      <c r="B720" s="174"/>
      <c r="C720" s="54"/>
      <c r="D720" s="455" t="s">
        <v>335</v>
      </c>
      <c r="E720" s="172"/>
      <c r="F720" s="73"/>
      <c r="G720" s="89"/>
      <c r="H720" s="75"/>
      <c r="I720" s="134"/>
      <c r="J720" s="68"/>
      <c r="K720" s="266"/>
      <c r="L720" s="266"/>
    </row>
    <row r="721" spans="1:12" s="142" customFormat="1" ht="15" x14ac:dyDescent="0.2">
      <c r="A721" s="213"/>
      <c r="B721" s="174"/>
      <c r="C721" s="54"/>
      <c r="D721" s="176"/>
      <c r="E721" s="66" t="s">
        <v>59</v>
      </c>
      <c r="F721" s="71">
        <v>13500</v>
      </c>
      <c r="G721" s="24">
        <v>2.5</v>
      </c>
      <c r="H721" s="24">
        <f>F721*G721</f>
        <v>33750</v>
      </c>
      <c r="I721" s="79">
        <f>H721*21%</f>
        <v>7087.5</v>
      </c>
      <c r="J721" s="79">
        <f>H721+I721</f>
        <v>40837.5</v>
      </c>
      <c r="K721" s="266"/>
      <c r="L721" s="266"/>
    </row>
    <row r="722" spans="1:12" ht="15" customHeight="1" x14ac:dyDescent="0.2">
      <c r="A722" s="207"/>
      <c r="B722" s="155"/>
      <c r="C722" s="53"/>
      <c r="D722" s="204" t="s">
        <v>89</v>
      </c>
      <c r="E722" s="120"/>
      <c r="F722" s="67"/>
      <c r="G722" s="123"/>
      <c r="H722" s="24"/>
      <c r="I722" s="139"/>
      <c r="J722" s="78"/>
      <c r="K722" s="266"/>
      <c r="L722" s="266"/>
    </row>
    <row r="723" spans="1:12" ht="15" customHeight="1" x14ac:dyDescent="0.2">
      <c r="A723" s="207"/>
      <c r="B723" s="155"/>
      <c r="C723" s="53"/>
      <c r="D723" s="410" t="s">
        <v>322</v>
      </c>
      <c r="E723" s="66" t="s">
        <v>24</v>
      </c>
      <c r="F723" s="24">
        <v>19000</v>
      </c>
      <c r="G723" s="24">
        <v>5</v>
      </c>
      <c r="H723" s="24">
        <f>+F723*G723</f>
        <v>95000</v>
      </c>
      <c r="I723" s="79">
        <f t="shared" ref="I723:I727" si="16">H723*21%</f>
        <v>19950</v>
      </c>
      <c r="J723" s="79">
        <f t="shared" ref="J723:J727" si="17">H723+I723</f>
        <v>114950</v>
      </c>
      <c r="K723" s="266"/>
      <c r="L723" s="266"/>
    </row>
    <row r="724" spans="1:12" ht="15" customHeight="1" x14ac:dyDescent="0.2">
      <c r="A724" s="207"/>
      <c r="B724" s="155"/>
      <c r="C724" s="53"/>
      <c r="D724" s="410" t="s">
        <v>324</v>
      </c>
      <c r="E724" s="66" t="s">
        <v>24</v>
      </c>
      <c r="F724" s="24">
        <v>9000</v>
      </c>
      <c r="G724" s="24">
        <v>5</v>
      </c>
      <c r="H724" s="24">
        <f>+F724*G724</f>
        <v>45000</v>
      </c>
      <c r="I724" s="79">
        <f t="shared" si="16"/>
        <v>9450</v>
      </c>
      <c r="J724" s="79">
        <f t="shared" si="17"/>
        <v>54450</v>
      </c>
      <c r="K724" s="266"/>
      <c r="L724" s="266"/>
    </row>
    <row r="725" spans="1:12" ht="15" customHeight="1" x14ac:dyDescent="0.2">
      <c r="A725" s="207"/>
      <c r="B725" s="155"/>
      <c r="C725" s="53"/>
      <c r="D725" s="409" t="s">
        <v>135</v>
      </c>
      <c r="E725" s="66" t="s">
        <v>24</v>
      </c>
      <c r="F725" s="24">
        <v>15000</v>
      </c>
      <c r="G725" s="24">
        <v>1</v>
      </c>
      <c r="H725" s="24">
        <f>+F725*G725</f>
        <v>15000</v>
      </c>
      <c r="I725" s="79">
        <f t="shared" si="16"/>
        <v>3150</v>
      </c>
      <c r="J725" s="79">
        <f t="shared" si="17"/>
        <v>18150</v>
      </c>
      <c r="K725" s="266"/>
      <c r="L725" s="266"/>
    </row>
    <row r="726" spans="1:12" ht="15" customHeight="1" x14ac:dyDescent="0.2">
      <c r="A726" s="207"/>
      <c r="B726" s="155"/>
      <c r="C726" s="53"/>
      <c r="D726" s="411" t="s">
        <v>9</v>
      </c>
      <c r="E726" s="66" t="s">
        <v>24</v>
      </c>
      <c r="F726" s="24">
        <v>0</v>
      </c>
      <c r="G726" s="24">
        <v>0</v>
      </c>
      <c r="H726" s="24">
        <f>F726*G726</f>
        <v>0</v>
      </c>
      <c r="I726" s="79">
        <f t="shared" si="16"/>
        <v>0</v>
      </c>
      <c r="J726" s="79">
        <f t="shared" si="17"/>
        <v>0</v>
      </c>
      <c r="K726" s="266"/>
      <c r="L726" s="266"/>
    </row>
    <row r="727" spans="1:12" ht="15" customHeight="1" x14ac:dyDescent="0.2">
      <c r="A727" s="207"/>
      <c r="B727" s="155"/>
      <c r="C727" s="53"/>
      <c r="D727" s="412" t="s">
        <v>109</v>
      </c>
      <c r="E727" s="77" t="s">
        <v>111</v>
      </c>
      <c r="F727" s="24">
        <v>75000</v>
      </c>
      <c r="G727" s="24">
        <v>1</v>
      </c>
      <c r="H727" s="24">
        <f>F727*G727</f>
        <v>75000</v>
      </c>
      <c r="I727" s="79">
        <f t="shared" si="16"/>
        <v>15750</v>
      </c>
      <c r="J727" s="79">
        <f t="shared" si="17"/>
        <v>90750</v>
      </c>
      <c r="K727" s="266"/>
      <c r="L727" s="266"/>
    </row>
    <row r="728" spans="1:12" s="44" customFormat="1" ht="15" customHeight="1" x14ac:dyDescent="0.2">
      <c r="A728" s="207"/>
      <c r="B728" s="156"/>
      <c r="C728" s="112">
        <f>SUM(C696:C727)</f>
        <v>0</v>
      </c>
      <c r="D728" s="111"/>
      <c r="E728" s="85"/>
      <c r="F728" s="473" t="s">
        <v>17</v>
      </c>
      <c r="G728" s="474"/>
      <c r="H728" s="246">
        <f>SUM(H699:H727)</f>
        <v>2725000</v>
      </c>
      <c r="I728" s="245">
        <f>SUM(I699:I727)</f>
        <v>572250</v>
      </c>
      <c r="J728" s="245">
        <f>SUM(J699:J727)</f>
        <v>3297250</v>
      </c>
      <c r="K728" s="266"/>
      <c r="L728" s="266"/>
    </row>
    <row r="729" spans="1:12" s="42" customFormat="1" ht="30" customHeight="1" x14ac:dyDescent="0.2">
      <c r="A729" s="207"/>
      <c r="B729" s="152"/>
      <c r="C729" s="55"/>
      <c r="D729" s="6"/>
      <c r="E729" s="7"/>
      <c r="F729" s="8"/>
      <c r="G729" s="8"/>
      <c r="H729" s="9"/>
      <c r="I729" s="43"/>
      <c r="J729" s="43"/>
      <c r="K729" s="266"/>
      <c r="L729" s="266"/>
    </row>
    <row r="730" spans="1:12" s="44" customFormat="1" ht="15" customHeight="1" x14ac:dyDescent="0.2">
      <c r="A730" s="207"/>
      <c r="B730" s="158"/>
      <c r="C730" s="228">
        <v>18</v>
      </c>
      <c r="D730" s="233" t="s">
        <v>44</v>
      </c>
      <c r="E730" s="241" t="s">
        <v>74</v>
      </c>
      <c r="F730" s="242" t="s">
        <v>39</v>
      </c>
      <c r="G730" s="243" t="s">
        <v>40</v>
      </c>
      <c r="H730" s="240" t="s">
        <v>53</v>
      </c>
      <c r="I730" s="244" t="s">
        <v>55</v>
      </c>
      <c r="J730" s="244" t="s">
        <v>121</v>
      </c>
      <c r="K730" s="266"/>
      <c r="L730" s="266"/>
    </row>
    <row r="731" spans="1:12" ht="15" customHeight="1" x14ac:dyDescent="0.2">
      <c r="A731" s="207"/>
      <c r="B731" s="155"/>
      <c r="C731" s="13"/>
      <c r="D731" s="197" t="s">
        <v>288</v>
      </c>
      <c r="E731" s="77" t="s">
        <v>111</v>
      </c>
      <c r="F731" s="31">
        <v>150000</v>
      </c>
      <c r="G731" s="31">
        <v>1</v>
      </c>
      <c r="H731" s="30">
        <f>F731*G731</f>
        <v>150000</v>
      </c>
      <c r="I731" s="129">
        <f>H731*21%</f>
        <v>31500</v>
      </c>
      <c r="J731" s="129">
        <f>H731+I731</f>
        <v>181500</v>
      </c>
      <c r="K731" s="266"/>
      <c r="L731" s="266"/>
    </row>
    <row r="732" spans="1:12" ht="15" customHeight="1" x14ac:dyDescent="0.2">
      <c r="A732" s="207"/>
      <c r="B732" s="319"/>
      <c r="C732" s="13"/>
      <c r="D732" s="402" t="s">
        <v>289</v>
      </c>
      <c r="E732" s="379"/>
      <c r="F732" s="420"/>
      <c r="G732" s="420"/>
      <c r="H732" s="384"/>
      <c r="I732" s="421"/>
      <c r="J732" s="421"/>
      <c r="K732" s="266"/>
      <c r="L732" s="266"/>
    </row>
    <row r="733" spans="1:12" ht="15" customHeight="1" x14ac:dyDescent="0.2">
      <c r="A733" s="207"/>
      <c r="B733" s="155"/>
      <c r="C733" s="13"/>
      <c r="D733" s="197" t="s">
        <v>101</v>
      </c>
      <c r="E733" s="77" t="s">
        <v>111</v>
      </c>
      <c r="F733" s="31">
        <v>0</v>
      </c>
      <c r="G733" s="31">
        <v>1</v>
      </c>
      <c r="H733" s="30">
        <f>F733*G733</f>
        <v>0</v>
      </c>
      <c r="I733" s="129">
        <f>H733*21%</f>
        <v>0</v>
      </c>
      <c r="J733" s="129">
        <f>H733+I733</f>
        <v>0</v>
      </c>
      <c r="K733" s="266"/>
      <c r="L733" s="266"/>
    </row>
    <row r="734" spans="1:12" s="44" customFormat="1" ht="15" customHeight="1" x14ac:dyDescent="0.2">
      <c r="A734" s="207"/>
      <c r="B734" s="156"/>
      <c r="C734" s="112">
        <f>SUM(C731:C733)</f>
        <v>0</v>
      </c>
      <c r="D734" s="111"/>
      <c r="E734" s="85"/>
      <c r="F734" s="473" t="s">
        <v>2</v>
      </c>
      <c r="G734" s="474"/>
      <c r="H734" s="246">
        <f>SUM(H731:H733)</f>
        <v>150000</v>
      </c>
      <c r="I734" s="245">
        <f>SUM(I731:I733)</f>
        <v>31500</v>
      </c>
      <c r="J734" s="245">
        <f>SUM(J731:J733)</f>
        <v>181500</v>
      </c>
      <c r="K734" s="266"/>
      <c r="L734" s="266"/>
    </row>
    <row r="735" spans="1:12" s="42" customFormat="1" ht="30" customHeight="1" x14ac:dyDescent="0.2">
      <c r="A735" s="207"/>
      <c r="B735" s="152"/>
      <c r="C735" s="55"/>
      <c r="D735" s="387"/>
      <c r="E735" s="20"/>
      <c r="F735" s="19"/>
      <c r="G735" s="19"/>
      <c r="H735" s="388"/>
      <c r="I735" s="389"/>
      <c r="J735" s="389"/>
      <c r="K735" s="266"/>
      <c r="L735" s="266"/>
    </row>
    <row r="736" spans="1:12" s="44" customFormat="1" ht="15" customHeight="1" x14ac:dyDescent="0.2">
      <c r="A736" s="207"/>
      <c r="B736" s="158"/>
      <c r="C736" s="228">
        <v>19</v>
      </c>
      <c r="D736" s="233" t="s">
        <v>35</v>
      </c>
      <c r="E736" s="241" t="s">
        <v>74</v>
      </c>
      <c r="F736" s="242" t="s">
        <v>39</v>
      </c>
      <c r="G736" s="243" t="s">
        <v>40</v>
      </c>
      <c r="H736" s="240" t="s">
        <v>53</v>
      </c>
      <c r="I736" s="244" t="s">
        <v>55</v>
      </c>
      <c r="J736" s="244" t="s">
        <v>121</v>
      </c>
      <c r="K736" s="266"/>
      <c r="L736" s="266"/>
    </row>
    <row r="737" spans="1:12" s="63" customFormat="1" ht="15" customHeight="1" x14ac:dyDescent="0.2">
      <c r="A737" s="214"/>
      <c r="B737" s="161"/>
      <c r="C737" s="62"/>
      <c r="D737" s="199" t="s">
        <v>208</v>
      </c>
      <c r="E737" s="120"/>
      <c r="F737" s="67"/>
      <c r="G737" s="123"/>
      <c r="H737" s="24"/>
      <c r="I737" s="136"/>
      <c r="J737" s="130"/>
      <c r="K737" s="266"/>
      <c r="L737" s="266"/>
    </row>
    <row r="738" spans="1:12" s="76" customFormat="1" ht="15" customHeight="1" x14ac:dyDescent="0.2">
      <c r="A738" s="213"/>
      <c r="B738" s="159"/>
      <c r="C738" s="54"/>
      <c r="D738" s="64"/>
      <c r="E738" s="77" t="s">
        <v>165</v>
      </c>
      <c r="F738" s="95">
        <v>10000</v>
      </c>
      <c r="G738" s="71">
        <v>10</v>
      </c>
      <c r="H738" s="71">
        <f>+F738*G738</f>
        <v>100000</v>
      </c>
      <c r="I738" s="71">
        <f>H738*21%</f>
        <v>21000</v>
      </c>
      <c r="J738" s="79">
        <f>H738+I738</f>
        <v>121000</v>
      </c>
      <c r="K738" s="266"/>
      <c r="L738" s="266"/>
    </row>
    <row r="739" spans="1:12" s="63" customFormat="1" ht="15" customHeight="1" x14ac:dyDescent="0.2">
      <c r="A739" s="207"/>
      <c r="B739" s="161"/>
      <c r="C739" s="13">
        <v>2</v>
      </c>
      <c r="D739" s="199" t="s">
        <v>6</v>
      </c>
      <c r="E739" s="120"/>
      <c r="F739" s="67"/>
      <c r="G739" s="123"/>
      <c r="H739" s="24"/>
      <c r="I739" s="137"/>
      <c r="J739" s="138"/>
      <c r="K739" s="266"/>
      <c r="L739" s="266"/>
    </row>
    <row r="740" spans="1:12" ht="15" customHeight="1" x14ac:dyDescent="0.2">
      <c r="A740" s="207"/>
      <c r="B740" s="155"/>
      <c r="C740" s="13"/>
      <c r="D740" s="391" t="s">
        <v>327</v>
      </c>
      <c r="E740" s="17" t="s">
        <v>41</v>
      </c>
      <c r="F740" s="34">
        <v>4000</v>
      </c>
      <c r="G740" s="30">
        <v>10</v>
      </c>
      <c r="H740" s="30">
        <f>+F740*G740</f>
        <v>40000</v>
      </c>
      <c r="I740" s="79"/>
      <c r="J740" s="79">
        <f>SUM(H740)</f>
        <v>40000</v>
      </c>
      <c r="K740" s="266"/>
      <c r="L740" s="266"/>
    </row>
    <row r="741" spans="1:12" ht="15" customHeight="1" x14ac:dyDescent="0.2">
      <c r="A741" s="207"/>
      <c r="B741" s="155"/>
      <c r="C741" s="13"/>
      <c r="D741" s="398" t="s">
        <v>326</v>
      </c>
      <c r="E741" s="66" t="s">
        <v>59</v>
      </c>
      <c r="F741" s="34">
        <v>46000</v>
      </c>
      <c r="G741" s="30">
        <v>4</v>
      </c>
      <c r="H741" s="30">
        <f>+F741*G741</f>
        <v>184000</v>
      </c>
      <c r="I741" s="79"/>
      <c r="J741" s="79">
        <f>+H741+I741</f>
        <v>184000</v>
      </c>
      <c r="K741" s="266"/>
      <c r="L741" s="266"/>
    </row>
    <row r="742" spans="1:12" ht="15" customHeight="1" x14ac:dyDescent="0.2">
      <c r="A742" s="207"/>
      <c r="B742" s="155"/>
      <c r="C742" s="13"/>
      <c r="D742" s="398" t="s">
        <v>325</v>
      </c>
      <c r="E742" s="66" t="s">
        <v>59</v>
      </c>
      <c r="F742" s="34">
        <v>132000</v>
      </c>
      <c r="G742" s="50">
        <v>4.5</v>
      </c>
      <c r="H742" s="30">
        <f>+G742*F742</f>
        <v>594000</v>
      </c>
      <c r="I742" s="79">
        <f>+H742*21%</f>
        <v>124740</v>
      </c>
      <c r="J742" s="79">
        <f>+I742+H742</f>
        <v>718740</v>
      </c>
      <c r="K742" s="266"/>
      <c r="L742" s="266"/>
    </row>
    <row r="743" spans="1:12" ht="15" customHeight="1" x14ac:dyDescent="0.2">
      <c r="A743" s="207"/>
      <c r="B743" s="155"/>
      <c r="C743" s="13"/>
      <c r="D743" s="398" t="s">
        <v>308</v>
      </c>
      <c r="E743" s="66" t="s">
        <v>59</v>
      </c>
      <c r="F743" s="51">
        <v>308000</v>
      </c>
      <c r="G743" s="30">
        <v>3.5</v>
      </c>
      <c r="H743" s="30">
        <f>+G743*F743</f>
        <v>1078000</v>
      </c>
      <c r="I743" s="79">
        <f>+H743*21%</f>
        <v>226380</v>
      </c>
      <c r="J743" s="79">
        <f>+I743+H743</f>
        <v>1304380</v>
      </c>
      <c r="K743" s="266"/>
      <c r="L743" s="266"/>
    </row>
    <row r="744" spans="1:12" ht="15" customHeight="1" x14ac:dyDescent="0.2">
      <c r="A744" s="207"/>
      <c r="B744" s="155"/>
      <c r="C744" s="13"/>
      <c r="D744" s="391" t="s">
        <v>329</v>
      </c>
      <c r="E744" s="66" t="s">
        <v>59</v>
      </c>
      <c r="F744" s="34">
        <v>7500</v>
      </c>
      <c r="G744" s="30">
        <v>3.5</v>
      </c>
      <c r="H744" s="133">
        <f>+F744*G744</f>
        <v>26250</v>
      </c>
      <c r="I744" s="79"/>
      <c r="J744" s="79">
        <f>SUM(H744)</f>
        <v>26250</v>
      </c>
      <c r="K744" s="266"/>
      <c r="L744" s="266"/>
    </row>
    <row r="745" spans="1:12" ht="15" customHeight="1" x14ac:dyDescent="0.2">
      <c r="A745" s="207"/>
      <c r="B745" s="155"/>
      <c r="C745" s="13"/>
      <c r="D745" s="399" t="s">
        <v>328</v>
      </c>
      <c r="E745" s="66" t="s">
        <v>59</v>
      </c>
      <c r="F745" s="30">
        <v>60000</v>
      </c>
      <c r="G745" s="30">
        <v>3.5</v>
      </c>
      <c r="H745" s="30">
        <f>+F745*G745</f>
        <v>210000</v>
      </c>
      <c r="I745" s="79"/>
      <c r="J745" s="79">
        <f>SUM(H745)</f>
        <v>210000</v>
      </c>
      <c r="K745" s="266"/>
      <c r="L745" s="266"/>
    </row>
    <row r="746" spans="1:12" s="63" customFormat="1" ht="15" customHeight="1" x14ac:dyDescent="0.2">
      <c r="A746" s="207"/>
      <c r="B746" s="161"/>
      <c r="C746" s="13">
        <v>3</v>
      </c>
      <c r="D746" s="199" t="s">
        <v>3</v>
      </c>
      <c r="E746" s="120"/>
      <c r="F746" s="67"/>
      <c r="G746" s="123"/>
      <c r="H746" s="24"/>
      <c r="I746" s="132"/>
      <c r="J746" s="122"/>
      <c r="K746" s="266"/>
      <c r="L746" s="266"/>
    </row>
    <row r="747" spans="1:12" ht="15" customHeight="1" x14ac:dyDescent="0.2">
      <c r="A747" s="207"/>
      <c r="B747" s="155"/>
      <c r="C747" s="13"/>
      <c r="D747" s="64" t="s">
        <v>136</v>
      </c>
      <c r="E747" s="17" t="s">
        <v>41</v>
      </c>
      <c r="F747" s="34">
        <v>27500</v>
      </c>
      <c r="G747" s="30">
        <v>10</v>
      </c>
      <c r="H747" s="30">
        <f>+F747*G747</f>
        <v>275000</v>
      </c>
      <c r="I747" s="79">
        <f>+H747*21%</f>
        <v>57750</v>
      </c>
      <c r="J747" s="79">
        <f>+I747+H747</f>
        <v>332750</v>
      </c>
      <c r="K747" s="266"/>
      <c r="L747" s="266"/>
    </row>
    <row r="748" spans="1:12" ht="15" customHeight="1" x14ac:dyDescent="0.2">
      <c r="A748" s="207"/>
      <c r="B748" s="155"/>
      <c r="C748" s="13"/>
      <c r="D748" s="64" t="s">
        <v>220</v>
      </c>
      <c r="E748" s="17" t="s">
        <v>41</v>
      </c>
      <c r="F748" s="34">
        <v>35000</v>
      </c>
      <c r="G748" s="30">
        <v>10</v>
      </c>
      <c r="H748" s="30">
        <f>+G748*F748</f>
        <v>350000</v>
      </c>
      <c r="I748" s="79">
        <f t="shared" ref="I748:I749" si="18">+H748*21%</f>
        <v>73500</v>
      </c>
      <c r="J748" s="79">
        <f t="shared" ref="J748:J749" si="19">+I748+H748</f>
        <v>423500</v>
      </c>
      <c r="K748" s="266"/>
      <c r="L748" s="266"/>
    </row>
    <row r="749" spans="1:12" ht="15" customHeight="1" x14ac:dyDescent="0.2">
      <c r="A749" s="207"/>
      <c r="B749" s="155"/>
      <c r="C749" s="13"/>
      <c r="D749" s="64" t="s">
        <v>124</v>
      </c>
      <c r="E749" s="17" t="s">
        <v>41</v>
      </c>
      <c r="F749" s="34">
        <v>32000</v>
      </c>
      <c r="G749" s="30">
        <v>10</v>
      </c>
      <c r="H749" s="30">
        <f>+G749*F749</f>
        <v>320000</v>
      </c>
      <c r="I749" s="79">
        <f t="shared" si="18"/>
        <v>67200</v>
      </c>
      <c r="J749" s="79">
        <f t="shared" si="19"/>
        <v>387200</v>
      </c>
      <c r="K749" s="266"/>
      <c r="L749" s="266"/>
    </row>
    <row r="750" spans="1:12" s="42" customFormat="1" ht="15" customHeight="1" x14ac:dyDescent="0.2">
      <c r="A750" s="207"/>
      <c r="B750" s="155"/>
      <c r="C750" s="13"/>
      <c r="D750" s="14"/>
      <c r="E750" s="66" t="s">
        <v>73</v>
      </c>
      <c r="F750" s="34">
        <v>0</v>
      </c>
      <c r="G750" s="30">
        <v>0</v>
      </c>
      <c r="H750" s="30">
        <f>SUM(H747:H749)</f>
        <v>945000</v>
      </c>
      <c r="I750" s="79">
        <f>+H750*21%</f>
        <v>198450</v>
      </c>
      <c r="J750" s="79">
        <f>+H750+I750</f>
        <v>1143450</v>
      </c>
      <c r="K750" s="266"/>
      <c r="L750" s="266"/>
    </row>
    <row r="751" spans="1:12" s="63" customFormat="1" ht="15" customHeight="1" x14ac:dyDescent="0.2">
      <c r="A751" s="207"/>
      <c r="B751" s="161"/>
      <c r="C751" s="62"/>
      <c r="D751" s="199" t="s">
        <v>4</v>
      </c>
      <c r="E751" s="120"/>
      <c r="F751" s="67"/>
      <c r="G751" s="123"/>
      <c r="H751" s="24"/>
      <c r="I751" s="137"/>
      <c r="J751" s="138"/>
      <c r="K751" s="266"/>
      <c r="L751" s="266"/>
    </row>
    <row r="752" spans="1:12" ht="15" customHeight="1" x14ac:dyDescent="0.2">
      <c r="A752" s="207"/>
      <c r="B752" s="155"/>
      <c r="C752" s="13"/>
      <c r="D752" s="14" t="s">
        <v>28</v>
      </c>
      <c r="E752" s="66" t="s">
        <v>29</v>
      </c>
      <c r="F752" s="34">
        <v>0</v>
      </c>
      <c r="G752" s="30">
        <v>0</v>
      </c>
      <c r="H752" s="30">
        <f>+G752*F752</f>
        <v>0</v>
      </c>
      <c r="I752" s="79"/>
      <c r="J752" s="79">
        <f>SUM(H751:H752)</f>
        <v>0</v>
      </c>
      <c r="K752" s="266"/>
      <c r="L752" s="266"/>
    </row>
    <row r="753" spans="1:12" s="42" customFormat="1" ht="15" customHeight="1" x14ac:dyDescent="0.2">
      <c r="A753" s="207"/>
      <c r="B753" s="155"/>
      <c r="C753" s="13"/>
      <c r="D753" s="14" t="s">
        <v>30</v>
      </c>
      <c r="E753" s="66" t="s">
        <v>29</v>
      </c>
      <c r="F753" s="34">
        <v>0</v>
      </c>
      <c r="G753" s="30">
        <v>0</v>
      </c>
      <c r="H753" s="30">
        <f>+G753*F753</f>
        <v>0</v>
      </c>
      <c r="I753" s="79"/>
      <c r="J753" s="79">
        <f>SUM(H752:H753)</f>
        <v>0</v>
      </c>
      <c r="K753" s="266"/>
      <c r="L753" s="266"/>
    </row>
    <row r="754" spans="1:12" s="63" customFormat="1" ht="15" customHeight="1" x14ac:dyDescent="0.2">
      <c r="A754" s="207"/>
      <c r="B754" s="161"/>
      <c r="C754" s="62"/>
      <c r="D754" s="199" t="s">
        <v>102</v>
      </c>
      <c r="E754" s="120"/>
      <c r="F754" s="67"/>
      <c r="G754" s="123"/>
      <c r="H754" s="24"/>
      <c r="I754" s="137"/>
      <c r="J754" s="138"/>
      <c r="K754" s="266"/>
      <c r="L754" s="266"/>
    </row>
    <row r="755" spans="1:12" ht="15" customHeight="1" x14ac:dyDescent="0.2">
      <c r="A755" s="207"/>
      <c r="B755" s="155"/>
      <c r="C755" s="13"/>
      <c r="D755" s="14" t="s">
        <v>103</v>
      </c>
      <c r="E755" s="77" t="s">
        <v>111</v>
      </c>
      <c r="F755" s="34">
        <v>0</v>
      </c>
      <c r="G755" s="30">
        <v>0</v>
      </c>
      <c r="H755" s="30">
        <f>F755*G755</f>
        <v>0</v>
      </c>
      <c r="I755" s="79"/>
      <c r="J755" s="79">
        <f>SUM(H754:H755)</f>
        <v>0</v>
      </c>
      <c r="K755" s="266"/>
      <c r="L755" s="266"/>
    </row>
    <row r="756" spans="1:12" ht="15" customHeight="1" x14ac:dyDescent="0.2">
      <c r="A756" s="207"/>
      <c r="B756" s="155"/>
      <c r="C756" s="13"/>
      <c r="D756" s="14" t="s">
        <v>63</v>
      </c>
      <c r="E756" s="66" t="s">
        <v>29</v>
      </c>
      <c r="F756" s="34">
        <v>0</v>
      </c>
      <c r="G756" s="30">
        <v>0</v>
      </c>
      <c r="H756" s="30">
        <f>F756*G756</f>
        <v>0</v>
      </c>
      <c r="I756" s="79"/>
      <c r="J756" s="79">
        <f>SUM(H755:H756)</f>
        <v>0</v>
      </c>
      <c r="K756" s="266"/>
      <c r="L756" s="266"/>
    </row>
    <row r="757" spans="1:12" s="63" customFormat="1" ht="15" customHeight="1" x14ac:dyDescent="0.2">
      <c r="A757" s="207"/>
      <c r="B757" s="161"/>
      <c r="C757" s="62"/>
      <c r="D757" s="324" t="s">
        <v>52</v>
      </c>
      <c r="E757" s="120"/>
      <c r="F757" s="67"/>
      <c r="G757" s="123"/>
      <c r="H757" s="24"/>
      <c r="I757" s="137"/>
      <c r="J757" s="138"/>
      <c r="K757" s="266"/>
      <c r="L757" s="266"/>
    </row>
    <row r="758" spans="1:12" ht="15" customHeight="1" x14ac:dyDescent="0.2">
      <c r="A758" s="207"/>
      <c r="B758" s="155"/>
      <c r="C758" s="13"/>
      <c r="D758" s="64" t="s">
        <v>125</v>
      </c>
      <c r="E758" s="403" t="s">
        <v>24</v>
      </c>
      <c r="F758" s="34">
        <v>6000</v>
      </c>
      <c r="G758" s="30">
        <v>25</v>
      </c>
      <c r="H758" s="30">
        <f>+G758*F758</f>
        <v>150000</v>
      </c>
      <c r="I758" s="79">
        <f>H758*21%</f>
        <v>31500</v>
      </c>
      <c r="J758" s="79">
        <f>H758+I758</f>
        <v>181500</v>
      </c>
      <c r="K758" s="266"/>
      <c r="L758" s="266"/>
    </row>
    <row r="759" spans="1:12" ht="15" customHeight="1" x14ac:dyDescent="0.2">
      <c r="A759" s="207"/>
      <c r="B759" s="155"/>
      <c r="C759" s="13"/>
      <c r="D759" s="391" t="s">
        <v>330</v>
      </c>
      <c r="E759" s="403" t="s">
        <v>24</v>
      </c>
      <c r="F759" s="34">
        <v>2250</v>
      </c>
      <c r="G759" s="30">
        <v>10</v>
      </c>
      <c r="H759" s="30">
        <f>+G759*F759</f>
        <v>22500</v>
      </c>
      <c r="I759" s="79">
        <f>H759*21%</f>
        <v>4725</v>
      </c>
      <c r="J759" s="79">
        <f>H759+I759</f>
        <v>27225</v>
      </c>
      <c r="K759" s="266"/>
      <c r="L759" s="266"/>
    </row>
    <row r="760" spans="1:12" s="63" customFormat="1" ht="15" customHeight="1" x14ac:dyDescent="0.2">
      <c r="A760" s="207"/>
      <c r="B760" s="161"/>
      <c r="C760" s="62"/>
      <c r="D760" s="199" t="s">
        <v>89</v>
      </c>
      <c r="E760" s="120"/>
      <c r="F760" s="67"/>
      <c r="G760" s="123"/>
      <c r="H760" s="24"/>
      <c r="I760" s="137"/>
      <c r="J760" s="138"/>
      <c r="K760" s="266"/>
      <c r="L760" s="266"/>
    </row>
    <row r="761" spans="1:12" ht="15" customHeight="1" x14ac:dyDescent="0.2">
      <c r="A761" s="207"/>
      <c r="B761" s="155"/>
      <c r="C761" s="13"/>
      <c r="D761" s="14" t="s">
        <v>99</v>
      </c>
      <c r="E761" s="77" t="s">
        <v>111</v>
      </c>
      <c r="F761" s="34">
        <v>0</v>
      </c>
      <c r="G761" s="30">
        <v>0</v>
      </c>
      <c r="H761" s="30">
        <f>F761*G761</f>
        <v>0</v>
      </c>
      <c r="I761" s="79">
        <f>SUM(H760:H761)*21%</f>
        <v>0</v>
      </c>
      <c r="J761" s="79">
        <f>SUM(H760:H761)+I761</f>
        <v>0</v>
      </c>
      <c r="K761" s="266"/>
      <c r="L761" s="266"/>
    </row>
    <row r="762" spans="1:12" ht="15" customHeight="1" x14ac:dyDescent="0.2">
      <c r="A762" s="207"/>
      <c r="B762" s="155"/>
      <c r="C762" s="13"/>
      <c r="D762" s="35" t="s">
        <v>104</v>
      </c>
      <c r="E762" s="77" t="s">
        <v>111</v>
      </c>
      <c r="F762" s="34">
        <v>0</v>
      </c>
      <c r="G762" s="30">
        <v>0</v>
      </c>
      <c r="H762" s="133">
        <f>+G762*F762</f>
        <v>0</v>
      </c>
      <c r="I762" s="79">
        <f>SUM(H761:H762)*21%</f>
        <v>0</v>
      </c>
      <c r="J762" s="79">
        <f>SUM(H761:H762)+I762</f>
        <v>0</v>
      </c>
      <c r="K762" s="266"/>
      <c r="L762" s="266"/>
    </row>
    <row r="763" spans="1:12" s="44" customFormat="1" ht="15" customHeight="1" x14ac:dyDescent="0.2">
      <c r="A763" s="207"/>
      <c r="B763" s="156"/>
      <c r="C763" s="112">
        <f>SUM(C739:C762)</f>
        <v>5</v>
      </c>
      <c r="D763" s="111"/>
      <c r="E763" s="85"/>
      <c r="F763" s="473" t="s">
        <v>248</v>
      </c>
      <c r="G763" s="474"/>
      <c r="H763" s="246">
        <f>SUM(H762+H761+H759+H758+H756+H755+H753+H752+H750+H745+H744+H743+H742+H741+H740+H738)</f>
        <v>3349750</v>
      </c>
      <c r="I763" s="245">
        <f>SUM(I762+I761+I759+I758+I756+I755+I753+I752+I750+I745+I744+I743+I742+I741+I738)</f>
        <v>606795</v>
      </c>
      <c r="J763" s="245">
        <f>SUM(J762+J761+J759+J758+J756+J755+J753+J752+J750+J745+J744+J743+J742+J741+J740+J738)</f>
        <v>3956545</v>
      </c>
      <c r="K763" s="266"/>
      <c r="L763" s="266"/>
    </row>
    <row r="764" spans="1:12" s="42" customFormat="1" ht="30" customHeight="1" x14ac:dyDescent="0.2">
      <c r="A764" s="207"/>
      <c r="B764" s="152"/>
      <c r="C764" s="55"/>
      <c r="D764" s="6"/>
      <c r="E764" s="7"/>
      <c r="F764" s="8"/>
      <c r="G764" s="8"/>
      <c r="H764" s="9"/>
      <c r="I764" s="43"/>
      <c r="J764" s="43"/>
      <c r="K764" s="266"/>
      <c r="L764" s="266"/>
    </row>
    <row r="765" spans="1:12" s="44" customFormat="1" ht="15" customHeight="1" x14ac:dyDescent="0.2">
      <c r="A765" s="207"/>
      <c r="B765" s="158"/>
      <c r="C765" s="228">
        <v>20</v>
      </c>
      <c r="D765" s="233" t="s">
        <v>34</v>
      </c>
      <c r="E765" s="241" t="s">
        <v>74</v>
      </c>
      <c r="F765" s="242" t="s">
        <v>39</v>
      </c>
      <c r="G765" s="243" t="s">
        <v>40</v>
      </c>
      <c r="H765" s="240" t="s">
        <v>53</v>
      </c>
      <c r="I765" s="244" t="s">
        <v>55</v>
      </c>
      <c r="J765" s="244" t="s">
        <v>121</v>
      </c>
      <c r="K765" s="266"/>
      <c r="L765" s="266"/>
    </row>
    <row r="766" spans="1:12" ht="15" customHeight="1" x14ac:dyDescent="0.2">
      <c r="A766" s="207"/>
      <c r="B766" s="155"/>
      <c r="C766" s="53"/>
      <c r="D766" s="197" t="s">
        <v>137</v>
      </c>
      <c r="E766" s="171"/>
      <c r="F766" s="171"/>
      <c r="G766" s="123"/>
      <c r="H766" s="65"/>
      <c r="I766" s="134"/>
      <c r="J766" s="68"/>
      <c r="K766" s="266"/>
      <c r="L766" s="266"/>
    </row>
    <row r="767" spans="1:12" ht="15" customHeight="1" x14ac:dyDescent="0.2">
      <c r="A767" s="207"/>
      <c r="B767" s="155"/>
      <c r="C767" s="53"/>
      <c r="D767" s="391" t="s">
        <v>331</v>
      </c>
      <c r="E767" s="171"/>
      <c r="F767" s="171"/>
      <c r="G767" s="88"/>
      <c r="H767" s="27"/>
      <c r="I767" s="134"/>
      <c r="J767" s="68"/>
      <c r="K767" s="266"/>
      <c r="L767" s="266"/>
    </row>
    <row r="768" spans="1:12" ht="15" customHeight="1" x14ac:dyDescent="0.2">
      <c r="A768" s="207"/>
      <c r="B768" s="155"/>
      <c r="C768" s="53"/>
      <c r="D768" s="82"/>
      <c r="E768" s="66" t="s">
        <v>217</v>
      </c>
      <c r="F768" s="71">
        <v>12000</v>
      </c>
      <c r="G768" s="24">
        <v>10</v>
      </c>
      <c r="H768" s="24">
        <f>F768*G768</f>
        <v>120000</v>
      </c>
      <c r="I768" s="79">
        <f>H768*21%</f>
        <v>25200</v>
      </c>
      <c r="J768" s="79">
        <f>H768+I768</f>
        <v>145200</v>
      </c>
      <c r="K768" s="266"/>
      <c r="L768" s="266"/>
    </row>
    <row r="769" spans="1:12" s="142" customFormat="1" ht="15" customHeight="1" x14ac:dyDescent="0.2">
      <c r="A769" s="207"/>
      <c r="B769" s="160"/>
      <c r="C769" s="53"/>
      <c r="D769" s="424" t="s">
        <v>69</v>
      </c>
      <c r="E769" s="425" t="s">
        <v>180</v>
      </c>
      <c r="F769" s="116">
        <v>14000</v>
      </c>
      <c r="G769" s="116">
        <v>10</v>
      </c>
      <c r="H769" s="116">
        <f>+F769*G769</f>
        <v>140000</v>
      </c>
      <c r="I769" s="417">
        <f>H769*21%</f>
        <v>29400</v>
      </c>
      <c r="J769" s="417">
        <f>H769+I769</f>
        <v>169400</v>
      </c>
      <c r="K769" s="266"/>
      <c r="L769" s="266"/>
    </row>
    <row r="770" spans="1:12" ht="15" customHeight="1" x14ac:dyDescent="0.2">
      <c r="A770" s="207"/>
      <c r="B770" s="155"/>
      <c r="C770" s="53"/>
      <c r="D770" s="325" t="s">
        <v>19</v>
      </c>
      <c r="E770" s="120" t="s">
        <v>36</v>
      </c>
      <c r="F770" s="67"/>
      <c r="G770" s="123"/>
      <c r="H770" s="24"/>
      <c r="I770" s="139"/>
      <c r="J770" s="78"/>
      <c r="K770" s="266"/>
      <c r="L770" s="266"/>
    </row>
    <row r="771" spans="1:12" ht="15" customHeight="1" x14ac:dyDescent="0.2">
      <c r="A771" s="207"/>
      <c r="B771" s="155"/>
      <c r="C771" s="53"/>
      <c r="D771" s="423" t="s">
        <v>292</v>
      </c>
      <c r="E771" s="77" t="s">
        <v>180</v>
      </c>
      <c r="F771" s="24">
        <v>7250</v>
      </c>
      <c r="G771" s="24">
        <v>10</v>
      </c>
      <c r="H771" s="24">
        <f>+F771*G771</f>
        <v>72500</v>
      </c>
      <c r="I771" s="79">
        <f>H771*21%</f>
        <v>15225</v>
      </c>
      <c r="J771" s="79">
        <f>H771+I771</f>
        <v>87725</v>
      </c>
      <c r="K771" s="266"/>
      <c r="L771" s="266"/>
    </row>
    <row r="772" spans="1:12" s="44" customFormat="1" ht="15" customHeight="1" x14ac:dyDescent="0.2">
      <c r="A772" s="207"/>
      <c r="B772" s="156"/>
      <c r="C772" s="112">
        <f>SUM(C766:C771)</f>
        <v>0</v>
      </c>
      <c r="D772" s="111"/>
      <c r="E772" s="85"/>
      <c r="F772" s="473" t="s">
        <v>1</v>
      </c>
      <c r="G772" s="474"/>
      <c r="H772" s="246">
        <f>SUM(H771+H769+H768)</f>
        <v>332500</v>
      </c>
      <c r="I772" s="245">
        <f>SUM(I771+I769+I768)</f>
        <v>69825</v>
      </c>
      <c r="J772" s="245">
        <f>SUM(J771+J769+J768)</f>
        <v>402325</v>
      </c>
      <c r="K772" s="266"/>
      <c r="L772" s="266"/>
    </row>
    <row r="773" spans="1:12" s="42" customFormat="1" ht="30" customHeight="1" x14ac:dyDescent="0.2">
      <c r="A773" s="207"/>
      <c r="B773" s="152"/>
      <c r="C773" s="55"/>
      <c r="D773" s="6"/>
      <c r="E773" s="7"/>
      <c r="F773" s="8"/>
      <c r="G773" s="8"/>
      <c r="H773" s="9"/>
      <c r="I773" s="43"/>
      <c r="J773" s="43"/>
      <c r="K773" s="266"/>
      <c r="L773" s="266"/>
    </row>
    <row r="774" spans="1:12" s="44" customFormat="1" ht="15" customHeight="1" x14ac:dyDescent="0.2">
      <c r="A774" s="207"/>
      <c r="B774" s="158"/>
      <c r="C774" s="228">
        <v>21</v>
      </c>
      <c r="D774" s="233" t="s">
        <v>250</v>
      </c>
      <c r="E774" s="241" t="s">
        <v>74</v>
      </c>
      <c r="F774" s="242" t="s">
        <v>39</v>
      </c>
      <c r="G774" s="243" t="s">
        <v>40</v>
      </c>
      <c r="H774" s="240" t="s">
        <v>53</v>
      </c>
      <c r="I774" s="244" t="s">
        <v>55</v>
      </c>
      <c r="J774" s="244" t="s">
        <v>121</v>
      </c>
      <c r="K774" s="266"/>
      <c r="L774" s="266"/>
    </row>
    <row r="775" spans="1:12" s="45" customFormat="1" ht="15" customHeight="1" x14ac:dyDescent="0.2">
      <c r="A775" s="207"/>
      <c r="B775" s="155"/>
      <c r="C775" s="53"/>
      <c r="D775" s="199" t="s">
        <v>131</v>
      </c>
      <c r="E775" s="224" t="s">
        <v>95</v>
      </c>
      <c r="F775" s="225"/>
      <c r="G775" s="226" t="s">
        <v>118</v>
      </c>
      <c r="H775" s="140"/>
      <c r="I775" s="136"/>
      <c r="J775" s="130"/>
      <c r="K775" s="266"/>
      <c r="L775" s="266"/>
    </row>
    <row r="776" spans="1:12" ht="15" customHeight="1" x14ac:dyDescent="0.2">
      <c r="A776" s="207"/>
      <c r="B776" s="155"/>
      <c r="C776" s="53"/>
      <c r="D776" s="445" t="s">
        <v>117</v>
      </c>
      <c r="E776" s="86">
        <v>45</v>
      </c>
      <c r="F776" s="25">
        <v>600</v>
      </c>
      <c r="G776" s="86">
        <v>50</v>
      </c>
      <c r="H776" s="24">
        <f>+E776*F776*G776</f>
        <v>1350000</v>
      </c>
      <c r="I776" s="79">
        <f>H776*21%</f>
        <v>283500</v>
      </c>
      <c r="J776" s="79">
        <f>I776+H776</f>
        <v>1633500</v>
      </c>
      <c r="K776" s="266"/>
      <c r="L776" s="266"/>
    </row>
    <row r="777" spans="1:12" ht="15" customHeight="1" x14ac:dyDescent="0.2">
      <c r="A777" s="207"/>
      <c r="B777" s="155"/>
      <c r="C777" s="53"/>
      <c r="D777" s="93"/>
      <c r="E777" s="92"/>
      <c r="F777" s="24"/>
      <c r="G777" s="227"/>
      <c r="H777" s="24"/>
      <c r="I777" s="79"/>
      <c r="J777" s="79"/>
      <c r="K777" s="266"/>
      <c r="L777" s="266"/>
    </row>
    <row r="778" spans="1:12" s="63" customFormat="1" ht="15" customHeight="1" x14ac:dyDescent="0.2">
      <c r="A778" s="207"/>
      <c r="B778" s="161"/>
      <c r="C778" s="62"/>
      <c r="D778" s="324" t="s">
        <v>89</v>
      </c>
      <c r="E778" s="120"/>
      <c r="F778" s="67"/>
      <c r="G778" s="123"/>
      <c r="H778" s="24"/>
      <c r="I778" s="79"/>
      <c r="J778" s="79"/>
      <c r="K778" s="266"/>
      <c r="L778" s="266"/>
    </row>
    <row r="779" spans="1:12" ht="15" customHeight="1" x14ac:dyDescent="0.2">
      <c r="A779" s="207"/>
      <c r="B779" s="155"/>
      <c r="C779" s="53"/>
      <c r="D779" s="64" t="s">
        <v>221</v>
      </c>
      <c r="E779" s="77" t="s">
        <v>111</v>
      </c>
      <c r="F779" s="24">
        <v>650</v>
      </c>
      <c r="G779" s="24">
        <v>26</v>
      </c>
      <c r="H779" s="24">
        <f>F779*G779</f>
        <v>16900</v>
      </c>
      <c r="I779" s="79">
        <v>0</v>
      </c>
      <c r="J779" s="79">
        <f>SUM(H779)+I779</f>
        <v>16900</v>
      </c>
      <c r="K779" s="266"/>
      <c r="L779" s="266"/>
    </row>
    <row r="780" spans="1:12" ht="15" customHeight="1" x14ac:dyDescent="0.2">
      <c r="A780" s="207"/>
      <c r="B780" s="155"/>
      <c r="C780" s="53"/>
      <c r="D780" s="395" t="s">
        <v>307</v>
      </c>
      <c r="E780" s="403" t="s">
        <v>111</v>
      </c>
      <c r="F780" s="24">
        <v>650</v>
      </c>
      <c r="G780" s="24">
        <v>15</v>
      </c>
      <c r="H780" s="24">
        <f>F780*G780</f>
        <v>9750</v>
      </c>
      <c r="I780" s="79">
        <v>0</v>
      </c>
      <c r="J780" s="79">
        <f>SUM(H780)+I780</f>
        <v>9750</v>
      </c>
      <c r="K780" s="266"/>
      <c r="L780" s="266"/>
    </row>
    <row r="781" spans="1:12" s="44" customFormat="1" ht="15" customHeight="1" x14ac:dyDescent="0.2">
      <c r="A781" s="207"/>
      <c r="B781" s="156"/>
      <c r="C781" s="112">
        <f>SUM(C775:C780)</f>
        <v>0</v>
      </c>
      <c r="D781" s="111"/>
      <c r="E781" s="85"/>
      <c r="F781" s="473" t="s">
        <v>0</v>
      </c>
      <c r="G781" s="474"/>
      <c r="H781" s="246">
        <f>SUM(H776:H780)</f>
        <v>1376650</v>
      </c>
      <c r="I781" s="245">
        <f>SUM(I775:I780)</f>
        <v>283500</v>
      </c>
      <c r="J781" s="245">
        <f>SUM(J775:J780)</f>
        <v>1660150</v>
      </c>
      <c r="K781" s="266"/>
      <c r="L781" s="266"/>
    </row>
    <row r="782" spans="1:12" s="42" customFormat="1" ht="30" customHeight="1" x14ac:dyDescent="0.2">
      <c r="A782" s="207"/>
      <c r="B782" s="152"/>
      <c r="C782" s="55"/>
      <c r="D782" s="6"/>
      <c r="E782" s="7"/>
      <c r="F782" s="8"/>
      <c r="G782" s="8"/>
      <c r="H782" s="9"/>
      <c r="I782" s="43"/>
      <c r="J782" s="43"/>
      <c r="K782" s="266"/>
      <c r="L782" s="266"/>
    </row>
    <row r="783" spans="1:12" s="44" customFormat="1" ht="15" customHeight="1" x14ac:dyDescent="0.2">
      <c r="A783" s="207"/>
      <c r="B783" s="158"/>
      <c r="C783" s="228">
        <v>22</v>
      </c>
      <c r="D783" s="233" t="s">
        <v>85</v>
      </c>
      <c r="E783" s="241" t="s">
        <v>74</v>
      </c>
      <c r="F783" s="242" t="s">
        <v>39</v>
      </c>
      <c r="G783" s="243" t="s">
        <v>40</v>
      </c>
      <c r="H783" s="240" t="s">
        <v>53</v>
      </c>
      <c r="I783" s="244" t="s">
        <v>55</v>
      </c>
      <c r="J783" s="244" t="s">
        <v>121</v>
      </c>
      <c r="K783" s="266"/>
      <c r="L783" s="266"/>
    </row>
    <row r="784" spans="1:12" ht="15" customHeight="1" x14ac:dyDescent="0.2">
      <c r="A784" s="207"/>
      <c r="B784" s="155"/>
      <c r="C784" s="53"/>
      <c r="D784" s="196" t="s">
        <v>67</v>
      </c>
      <c r="E784" s="18" t="s">
        <v>59</v>
      </c>
      <c r="F784" s="24">
        <v>32500</v>
      </c>
      <c r="G784" s="24">
        <v>6.5</v>
      </c>
      <c r="H784" s="24">
        <f t="shared" ref="H784:H796" si="20">F784*G784</f>
        <v>211250</v>
      </c>
      <c r="I784" s="79">
        <f>H784*21%</f>
        <v>44362.5</v>
      </c>
      <c r="J784" s="79">
        <f>H784+I784</f>
        <v>255612.5</v>
      </c>
      <c r="K784" s="266"/>
      <c r="L784" s="266"/>
    </row>
    <row r="785" spans="1:12" ht="15" customHeight="1" x14ac:dyDescent="0.2">
      <c r="A785" s="207"/>
      <c r="B785" s="155"/>
      <c r="C785" s="53"/>
      <c r="D785" s="196" t="s">
        <v>27</v>
      </c>
      <c r="E785" s="18" t="s">
        <v>59</v>
      </c>
      <c r="F785" s="24">
        <v>12000</v>
      </c>
      <c r="G785" s="24">
        <v>4.5</v>
      </c>
      <c r="H785" s="24">
        <f t="shared" si="20"/>
        <v>54000</v>
      </c>
      <c r="I785" s="79">
        <v>0</v>
      </c>
      <c r="J785" s="79">
        <f t="shared" ref="J785:J796" si="21">H785+I785</f>
        <v>54000</v>
      </c>
      <c r="K785" s="266"/>
      <c r="L785" s="266"/>
    </row>
    <row r="786" spans="1:12" ht="15" customHeight="1" x14ac:dyDescent="0.2">
      <c r="A786" s="207"/>
      <c r="B786" s="155"/>
      <c r="C786" s="53"/>
      <c r="D786" s="196" t="s">
        <v>195</v>
      </c>
      <c r="E786" s="18" t="s">
        <v>59</v>
      </c>
      <c r="F786" s="24">
        <v>20000</v>
      </c>
      <c r="G786" s="24">
        <v>4.5</v>
      </c>
      <c r="H786" s="24">
        <f t="shared" si="20"/>
        <v>90000</v>
      </c>
      <c r="I786" s="79">
        <f>H786*21%</f>
        <v>18900</v>
      </c>
      <c r="J786" s="79">
        <f t="shared" si="21"/>
        <v>108900</v>
      </c>
      <c r="K786" s="266"/>
      <c r="L786" s="266"/>
    </row>
    <row r="787" spans="1:12" ht="15" customHeight="1" x14ac:dyDescent="0.2">
      <c r="A787" s="207"/>
      <c r="B787" s="253"/>
      <c r="C787" s="53"/>
      <c r="D787" s="196" t="s">
        <v>196</v>
      </c>
      <c r="E787" s="18" t="s">
        <v>59</v>
      </c>
      <c r="F787" s="24">
        <v>40000</v>
      </c>
      <c r="G787" s="24">
        <v>6.5</v>
      </c>
      <c r="H787" s="24">
        <f t="shared" si="20"/>
        <v>260000</v>
      </c>
      <c r="I787" s="79">
        <f>H787*21%</f>
        <v>54600</v>
      </c>
      <c r="J787" s="79">
        <f>+H787+I787</f>
        <v>314600</v>
      </c>
      <c r="K787" s="266"/>
      <c r="L787" s="266"/>
    </row>
    <row r="788" spans="1:12" ht="15" customHeight="1" x14ac:dyDescent="0.2">
      <c r="A788" s="207"/>
      <c r="B788" s="155"/>
      <c r="C788" s="53"/>
      <c r="D788" s="196" t="s">
        <v>194</v>
      </c>
      <c r="E788" s="18" t="s">
        <v>59</v>
      </c>
      <c r="F788" s="24">
        <v>5000</v>
      </c>
      <c r="G788" s="24">
        <v>4.5</v>
      </c>
      <c r="H788" s="24">
        <f t="shared" si="20"/>
        <v>22500</v>
      </c>
      <c r="I788" s="79">
        <f>H788*21%</f>
        <v>4725</v>
      </c>
      <c r="J788" s="79">
        <f t="shared" si="21"/>
        <v>27225</v>
      </c>
      <c r="K788" s="266"/>
      <c r="L788" s="266"/>
    </row>
    <row r="789" spans="1:12" ht="15" customHeight="1" x14ac:dyDescent="0.2">
      <c r="A789" s="207"/>
      <c r="B789" s="155"/>
      <c r="C789" s="53"/>
      <c r="D789" s="462" t="s">
        <v>360</v>
      </c>
      <c r="E789" s="87" t="s">
        <v>176</v>
      </c>
      <c r="F789" s="24">
        <v>18000</v>
      </c>
      <c r="G789" s="24">
        <v>5</v>
      </c>
      <c r="H789" s="24">
        <f t="shared" si="20"/>
        <v>90000</v>
      </c>
      <c r="I789" s="79">
        <f>H789*21%</f>
        <v>18900</v>
      </c>
      <c r="J789" s="79">
        <f t="shared" si="21"/>
        <v>108900</v>
      </c>
      <c r="K789" s="266"/>
      <c r="L789" s="266"/>
    </row>
    <row r="790" spans="1:12" ht="15" customHeight="1" x14ac:dyDescent="0.2">
      <c r="A790" s="207"/>
      <c r="B790" s="155"/>
      <c r="C790" s="53"/>
      <c r="D790" s="196" t="s">
        <v>70</v>
      </c>
      <c r="E790" s="77" t="s">
        <v>111</v>
      </c>
      <c r="F790" s="24">
        <v>100000</v>
      </c>
      <c r="G790" s="24">
        <v>1</v>
      </c>
      <c r="H790" s="24">
        <f t="shared" si="20"/>
        <v>100000</v>
      </c>
      <c r="I790" s="79">
        <v>0</v>
      </c>
      <c r="J790" s="79">
        <f t="shared" si="21"/>
        <v>100000</v>
      </c>
      <c r="K790" s="266"/>
      <c r="L790" s="266"/>
    </row>
    <row r="791" spans="1:12" ht="15" customHeight="1" x14ac:dyDescent="0.2">
      <c r="A791" s="207"/>
      <c r="B791" s="155"/>
      <c r="C791" s="53"/>
      <c r="D791" s="196" t="s">
        <v>71</v>
      </c>
      <c r="E791" s="18" t="s">
        <v>59</v>
      </c>
      <c r="F791" s="24">
        <v>35000</v>
      </c>
      <c r="G791" s="24">
        <v>4.5</v>
      </c>
      <c r="H791" s="24">
        <f t="shared" si="20"/>
        <v>157500</v>
      </c>
      <c r="I791" s="79">
        <v>0</v>
      </c>
      <c r="J791" s="79">
        <f t="shared" si="21"/>
        <v>157500</v>
      </c>
      <c r="K791" s="266"/>
      <c r="L791" s="266"/>
    </row>
    <row r="792" spans="1:12" ht="15" customHeight="1" x14ac:dyDescent="0.2">
      <c r="A792" s="207"/>
      <c r="B792" s="319"/>
      <c r="C792" s="53"/>
      <c r="D792" s="397" t="s">
        <v>309</v>
      </c>
      <c r="E792" s="440" t="s">
        <v>111</v>
      </c>
      <c r="F792" s="401">
        <v>20000</v>
      </c>
      <c r="G792" s="401">
        <v>1</v>
      </c>
      <c r="H792" s="401">
        <f t="shared" si="20"/>
        <v>20000</v>
      </c>
      <c r="I792" s="79">
        <f>H792*21%</f>
        <v>4200</v>
      </c>
      <c r="J792" s="79">
        <f t="shared" ref="J792" si="22">H792+I792</f>
        <v>24200</v>
      </c>
      <c r="K792" s="266"/>
      <c r="L792" s="266"/>
    </row>
    <row r="793" spans="1:12" ht="15" customHeight="1" x14ac:dyDescent="0.2">
      <c r="A793" s="207"/>
      <c r="B793" s="253"/>
      <c r="C793" s="53"/>
      <c r="D793" s="397" t="s">
        <v>332</v>
      </c>
      <c r="E793" s="87" t="s">
        <v>59</v>
      </c>
      <c r="F793" s="24">
        <v>15000</v>
      </c>
      <c r="G793" s="24">
        <v>4.5</v>
      </c>
      <c r="H793" s="24">
        <f t="shared" si="20"/>
        <v>67500</v>
      </c>
      <c r="I793" s="79">
        <f>+H793*21%</f>
        <v>14175</v>
      </c>
      <c r="J793" s="79">
        <f>+H793+I793</f>
        <v>81675</v>
      </c>
      <c r="K793" s="266"/>
      <c r="L793" s="266"/>
    </row>
    <row r="794" spans="1:12" ht="15" customHeight="1" x14ac:dyDescent="0.2">
      <c r="A794" s="207"/>
      <c r="B794" s="253"/>
      <c r="C794" s="53"/>
      <c r="D794" s="196" t="s">
        <v>198</v>
      </c>
      <c r="E794" s="87" t="s">
        <v>176</v>
      </c>
      <c r="F794" s="24">
        <v>150000</v>
      </c>
      <c r="G794" s="24">
        <v>1</v>
      </c>
      <c r="H794" s="24">
        <f t="shared" si="20"/>
        <v>150000</v>
      </c>
      <c r="I794" s="79">
        <f>+H794*21%</f>
        <v>31500</v>
      </c>
      <c r="J794" s="79">
        <f>+H794+I794</f>
        <v>181500</v>
      </c>
      <c r="K794" s="266"/>
      <c r="L794" s="266"/>
    </row>
    <row r="795" spans="1:12" ht="15" customHeight="1" x14ac:dyDescent="0.2">
      <c r="A795" s="207"/>
      <c r="B795" s="253"/>
      <c r="C795" s="53"/>
      <c r="D795" s="196" t="s">
        <v>197</v>
      </c>
      <c r="E795" s="87" t="s">
        <v>59</v>
      </c>
      <c r="F795" s="24">
        <v>4000</v>
      </c>
      <c r="G795" s="24">
        <v>4.5</v>
      </c>
      <c r="H795" s="24">
        <f t="shared" si="20"/>
        <v>18000</v>
      </c>
      <c r="I795" s="79">
        <f>+H795*21%</f>
        <v>3780</v>
      </c>
      <c r="J795" s="79">
        <f>+H795+I795</f>
        <v>21780</v>
      </c>
      <c r="K795" s="266"/>
      <c r="L795" s="266"/>
    </row>
    <row r="796" spans="1:12" ht="15" customHeight="1" x14ac:dyDescent="0.2">
      <c r="A796" s="207"/>
      <c r="B796" s="155"/>
      <c r="C796" s="13"/>
      <c r="D796" s="197" t="s">
        <v>200</v>
      </c>
      <c r="E796" s="77" t="s">
        <v>111</v>
      </c>
      <c r="F796" s="30">
        <v>0</v>
      </c>
      <c r="G796" s="30">
        <v>1</v>
      </c>
      <c r="H796" s="24">
        <f t="shared" si="20"/>
        <v>0</v>
      </c>
      <c r="I796" s="79">
        <v>0</v>
      </c>
      <c r="J796" s="79">
        <f t="shared" si="21"/>
        <v>0</v>
      </c>
      <c r="K796" s="266"/>
      <c r="L796" s="266"/>
    </row>
    <row r="797" spans="1:12" s="44" customFormat="1" ht="15" customHeight="1" x14ac:dyDescent="0.2">
      <c r="A797" s="207"/>
      <c r="B797" s="156"/>
      <c r="C797" s="112">
        <f>SUM(C784:C796)</f>
        <v>0</v>
      </c>
      <c r="D797" s="111"/>
      <c r="E797" s="85"/>
      <c r="F797" s="473" t="s">
        <v>64</v>
      </c>
      <c r="G797" s="474"/>
      <c r="H797" s="246">
        <f>SUM(H784:H796)</f>
        <v>1240750</v>
      </c>
      <c r="I797" s="245">
        <f>SUM(I784:I796)</f>
        <v>195142.5</v>
      </c>
      <c r="J797" s="245">
        <f>SUM(J784:J796)</f>
        <v>1435892.5</v>
      </c>
      <c r="K797" s="266"/>
      <c r="L797" s="266"/>
    </row>
    <row r="798" spans="1:12" s="42" customFormat="1" ht="30" customHeight="1" x14ac:dyDescent="0.2">
      <c r="A798" s="207"/>
      <c r="B798" s="152"/>
      <c r="C798" s="55"/>
      <c r="D798" s="6"/>
      <c r="E798" s="7"/>
      <c r="F798" s="8"/>
      <c r="G798" s="8"/>
      <c r="H798" s="9"/>
      <c r="I798" s="43"/>
      <c r="J798" s="43"/>
      <c r="K798" s="266"/>
      <c r="L798" s="266"/>
    </row>
    <row r="799" spans="1:12" s="44" customFormat="1" ht="15" customHeight="1" x14ac:dyDescent="0.2">
      <c r="A799" s="207"/>
      <c r="B799" s="158"/>
      <c r="C799" s="228">
        <v>23</v>
      </c>
      <c r="D799" s="233" t="s">
        <v>66</v>
      </c>
      <c r="E799" s="241" t="s">
        <v>74</v>
      </c>
      <c r="F799" s="242" t="s">
        <v>39</v>
      </c>
      <c r="G799" s="243" t="s">
        <v>40</v>
      </c>
      <c r="H799" s="240" t="s">
        <v>53</v>
      </c>
      <c r="I799" s="244" t="s">
        <v>55</v>
      </c>
      <c r="J799" s="244" t="s">
        <v>121</v>
      </c>
      <c r="K799" s="266"/>
      <c r="L799" s="266"/>
    </row>
    <row r="800" spans="1:12" s="63" customFormat="1" ht="15" customHeight="1" x14ac:dyDescent="0.2">
      <c r="A800" s="207"/>
      <c r="B800" s="161"/>
      <c r="C800" s="13"/>
      <c r="D800" s="441" t="s">
        <v>311</v>
      </c>
      <c r="E800" s="121"/>
      <c r="F800" s="83"/>
      <c r="G800" s="124"/>
      <c r="H800" s="84"/>
      <c r="I800" s="132"/>
      <c r="J800" s="122"/>
      <c r="K800" s="266"/>
      <c r="L800" s="266"/>
    </row>
    <row r="801" spans="1:12" ht="15" customHeight="1" x14ac:dyDescent="0.2">
      <c r="A801" s="207"/>
      <c r="B801" s="155"/>
      <c r="C801" s="53"/>
      <c r="D801" s="442" t="s">
        <v>312</v>
      </c>
      <c r="E801" s="77" t="s">
        <v>176</v>
      </c>
      <c r="F801" s="49">
        <f>SUM(H728)*0.02</f>
        <v>54500</v>
      </c>
      <c r="G801" s="24">
        <v>1</v>
      </c>
      <c r="H801" s="24">
        <f>F801*G801:G801</f>
        <v>54500</v>
      </c>
      <c r="I801" s="79">
        <f>H801*21%</f>
        <v>11445</v>
      </c>
      <c r="J801" s="79">
        <f>H801+I801</f>
        <v>65945</v>
      </c>
      <c r="K801" s="266"/>
      <c r="L801" s="266"/>
    </row>
    <row r="802" spans="1:12" s="45" customFormat="1" ht="15" customHeight="1" x14ac:dyDescent="0.2">
      <c r="A802" s="207"/>
      <c r="B802" s="155"/>
      <c r="C802" s="53"/>
      <c r="D802" s="430" t="s">
        <v>313</v>
      </c>
      <c r="E802" s="403" t="s">
        <v>59</v>
      </c>
      <c r="F802" s="24">
        <v>9000</v>
      </c>
      <c r="G802" s="24">
        <v>4.5</v>
      </c>
      <c r="H802" s="24">
        <f>F802*G802</f>
        <v>40500</v>
      </c>
      <c r="I802" s="79">
        <f>H802*21%</f>
        <v>8505</v>
      </c>
      <c r="J802" s="79">
        <f>H802+I802</f>
        <v>49005</v>
      </c>
      <c r="K802" s="266"/>
      <c r="L802" s="266"/>
    </row>
    <row r="803" spans="1:12" s="44" customFormat="1" ht="15" customHeight="1" x14ac:dyDescent="0.2">
      <c r="A803" s="207"/>
      <c r="B803" s="156"/>
      <c r="C803" s="145">
        <f>SUM(C800:C802)</f>
        <v>0</v>
      </c>
      <c r="D803" s="111"/>
      <c r="E803" s="85"/>
      <c r="F803" s="489" t="s">
        <v>72</v>
      </c>
      <c r="G803" s="474"/>
      <c r="H803" s="246">
        <f>SUM(H801:H802)</f>
        <v>95000</v>
      </c>
      <c r="I803" s="245">
        <f>SUM(I801:I802)</f>
        <v>19950</v>
      </c>
      <c r="J803" s="245">
        <f>SUM(J801:J802)</f>
        <v>114950</v>
      </c>
      <c r="K803" s="266"/>
      <c r="L803" s="266"/>
    </row>
    <row r="804" spans="1:12" s="44" customFormat="1" ht="26.25" customHeight="1" x14ac:dyDescent="0.2">
      <c r="A804" s="207"/>
      <c r="B804" s="294"/>
      <c r="C804" s="305"/>
      <c r="D804" s="111"/>
      <c r="E804" s="85"/>
      <c r="F804" s="314"/>
      <c r="G804" s="314"/>
      <c r="H804" s="295"/>
      <c r="I804" s="295"/>
      <c r="J804" s="295"/>
      <c r="K804" s="266"/>
      <c r="L804" s="266"/>
    </row>
    <row r="805" spans="1:12" s="44" customFormat="1" ht="15" customHeight="1" x14ac:dyDescent="0.2">
      <c r="A805" s="207"/>
      <c r="B805" s="158"/>
      <c r="C805" s="228">
        <v>24</v>
      </c>
      <c r="D805" s="233" t="s">
        <v>218</v>
      </c>
      <c r="E805" s="241" t="s">
        <v>74</v>
      </c>
      <c r="F805" s="315" t="s">
        <v>39</v>
      </c>
      <c r="G805" s="292" t="s">
        <v>40</v>
      </c>
      <c r="H805" s="240" t="s">
        <v>53</v>
      </c>
      <c r="I805" s="244" t="s">
        <v>55</v>
      </c>
      <c r="J805" s="244" t="s">
        <v>121</v>
      </c>
      <c r="K805" s="266"/>
      <c r="L805" s="266"/>
    </row>
    <row r="806" spans="1:12" ht="15" customHeight="1" x14ac:dyDescent="0.2">
      <c r="A806" s="207"/>
      <c r="B806" s="253"/>
      <c r="C806" s="13">
        <v>1</v>
      </c>
      <c r="D806" s="306" t="s">
        <v>361</v>
      </c>
      <c r="E806" s="77" t="s">
        <v>176</v>
      </c>
      <c r="F806" s="24">
        <v>150000</v>
      </c>
      <c r="G806" s="24">
        <v>1</v>
      </c>
      <c r="H806" s="24">
        <f>G806*F806</f>
        <v>150000</v>
      </c>
      <c r="I806" s="79">
        <f>+H806*21%</f>
        <v>31500</v>
      </c>
      <c r="J806" s="79">
        <f>SUM(H806:I806)</f>
        <v>181500</v>
      </c>
      <c r="K806" s="266"/>
      <c r="L806" s="266"/>
    </row>
    <row r="807" spans="1:12" s="44" customFormat="1" ht="15" customHeight="1" x14ac:dyDescent="0.2">
      <c r="A807" s="207"/>
      <c r="B807" s="258"/>
      <c r="C807" s="112">
        <f>SUM(C806:C806)</f>
        <v>1</v>
      </c>
      <c r="D807" s="111"/>
      <c r="E807" s="85"/>
      <c r="F807" s="473" t="s">
        <v>46</v>
      </c>
      <c r="G807" s="474"/>
      <c r="H807" s="274">
        <f>SUM(H806:H806)</f>
        <v>150000</v>
      </c>
      <c r="I807" s="275">
        <f>SUM(I806:I806)</f>
        <v>31500</v>
      </c>
      <c r="J807" s="275">
        <f>SUM(J806:J806)</f>
        <v>181500</v>
      </c>
      <c r="K807" s="266"/>
      <c r="L807" s="266"/>
    </row>
    <row r="808" spans="1:12" s="42" customFormat="1" ht="30" customHeight="1" x14ac:dyDescent="0.2">
      <c r="A808" s="207"/>
      <c r="B808" s="152"/>
      <c r="C808" s="55"/>
      <c r="D808" s="6"/>
      <c r="E808" s="7"/>
      <c r="F808" s="8"/>
      <c r="G808" s="8"/>
      <c r="H808" s="9"/>
      <c r="I808" s="43"/>
      <c r="J808" s="43"/>
      <c r="K808" s="266"/>
      <c r="L808" s="266"/>
    </row>
    <row r="809" spans="1:12" s="44" customFormat="1" ht="15" customHeight="1" x14ac:dyDescent="0.2">
      <c r="A809" s="207"/>
      <c r="B809" s="158"/>
      <c r="C809" s="228">
        <v>25</v>
      </c>
      <c r="D809" s="233" t="s">
        <v>25</v>
      </c>
      <c r="E809" s="241" t="s">
        <v>74</v>
      </c>
      <c r="F809" s="242" t="s">
        <v>39</v>
      </c>
      <c r="G809" s="243" t="s">
        <v>40</v>
      </c>
      <c r="H809" s="240" t="s">
        <v>53</v>
      </c>
      <c r="I809" s="244" t="s">
        <v>55</v>
      </c>
      <c r="J809" s="244" t="s">
        <v>121</v>
      </c>
      <c r="K809" s="266"/>
      <c r="L809" s="266"/>
    </row>
    <row r="810" spans="1:12" ht="15" customHeight="1" x14ac:dyDescent="0.2">
      <c r="A810" s="207"/>
      <c r="B810" s="155"/>
      <c r="C810" s="13">
        <v>1</v>
      </c>
      <c r="D810" s="397" t="s">
        <v>296</v>
      </c>
      <c r="E810" s="77" t="s">
        <v>165</v>
      </c>
      <c r="F810" s="24">
        <v>1800</v>
      </c>
      <c r="G810" s="24">
        <v>50</v>
      </c>
      <c r="H810" s="24">
        <f>G810*F810</f>
        <v>90000</v>
      </c>
      <c r="I810" s="79">
        <f>H810*21%</f>
        <v>18900</v>
      </c>
      <c r="J810" s="79">
        <f>H810+I810</f>
        <v>108900</v>
      </c>
      <c r="K810" s="266"/>
      <c r="L810" s="266"/>
    </row>
    <row r="811" spans="1:12" s="44" customFormat="1" ht="15" customHeight="1" x14ac:dyDescent="0.2">
      <c r="A811" s="207"/>
      <c r="B811" s="258"/>
      <c r="C811" s="280">
        <f>SUM(C810:C810)</f>
        <v>1</v>
      </c>
      <c r="D811" s="111"/>
      <c r="E811" s="85"/>
      <c r="F811" s="473" t="s">
        <v>47</v>
      </c>
      <c r="G811" s="474"/>
      <c r="H811" s="274">
        <f>SUM(H810:H810)</f>
        <v>90000</v>
      </c>
      <c r="I811" s="275">
        <f>SUM(I810:I810)</f>
        <v>18900</v>
      </c>
      <c r="J811" s="275">
        <f>SUM(J810:J810)</f>
        <v>108900</v>
      </c>
      <c r="K811" s="266"/>
      <c r="L811" s="266"/>
    </row>
    <row r="812" spans="1:12" s="281" customFormat="1" ht="15" customHeight="1" x14ac:dyDescent="0.2">
      <c r="A812" s="285"/>
      <c r="B812" s="282"/>
      <c r="C812" s="283"/>
      <c r="D812" s="277"/>
      <c r="E812" s="278"/>
      <c r="F812" s="276"/>
      <c r="G812" s="276"/>
      <c r="H812" s="279"/>
      <c r="I812" s="279"/>
      <c r="J812" s="279"/>
      <c r="K812" s="266"/>
      <c r="L812" s="266"/>
    </row>
    <row r="813" spans="1:12" s="44" customFormat="1" ht="15" customHeight="1" x14ac:dyDescent="0.2">
      <c r="A813" s="207"/>
      <c r="B813" s="158"/>
      <c r="C813" s="228">
        <v>26</v>
      </c>
      <c r="D813" s="233" t="s">
        <v>201</v>
      </c>
      <c r="E813" s="241" t="s">
        <v>74</v>
      </c>
      <c r="F813" s="242" t="s">
        <v>39</v>
      </c>
      <c r="G813" s="248" t="s">
        <v>40</v>
      </c>
      <c r="H813" s="240" t="s">
        <v>53</v>
      </c>
      <c r="I813" s="244" t="s">
        <v>55</v>
      </c>
      <c r="J813" s="244" t="s">
        <v>121</v>
      </c>
      <c r="K813" s="266"/>
      <c r="L813" s="266"/>
    </row>
    <row r="814" spans="1:12" ht="15" customHeight="1" x14ac:dyDescent="0.2">
      <c r="A814" s="207"/>
      <c r="B814" s="155"/>
      <c r="C814" s="13"/>
      <c r="D814" s="397" t="s">
        <v>297</v>
      </c>
      <c r="E814" s="291">
        <v>1.2E-2</v>
      </c>
      <c r="F814" s="24">
        <f>SUM(J811+J807+J803+J797+J781+J772+J763+J734+J728+J693+J687+J676+J668+J660+J655+J632+J626+J619+J610+J594+J587+J551+J93+J86+J80+J820)</f>
        <v>55884499.073574916</v>
      </c>
      <c r="G814" s="24">
        <v>1</v>
      </c>
      <c r="H814" s="24">
        <f>+G814*F814*E814</f>
        <v>670613.98888289905</v>
      </c>
      <c r="I814" s="79">
        <v>0</v>
      </c>
      <c r="J814" s="79">
        <f>I814+H814</f>
        <v>670613.98888289905</v>
      </c>
      <c r="K814" s="266"/>
      <c r="L814" s="266"/>
    </row>
    <row r="815" spans="1:12" ht="15" customHeight="1" x14ac:dyDescent="0.2">
      <c r="A815" s="207"/>
      <c r="B815" s="253"/>
      <c r="C815" s="13"/>
      <c r="D815" s="196" t="s">
        <v>202</v>
      </c>
      <c r="E815" s="291">
        <v>0.05</v>
      </c>
      <c r="F815" s="24">
        <f>SUM(H811+H807+H803+H797+H781+H772+H763+H734+H728+H693+H687+H676+H668+H660+H655+H632+H626+H619+H610+H594+H587+H551+H93+H86+H80)</f>
        <v>50932709.294732928</v>
      </c>
      <c r="G815" s="24">
        <v>1</v>
      </c>
      <c r="H815" s="24">
        <f>+G815*F815*E815</f>
        <v>2546635.4647366465</v>
      </c>
      <c r="I815" s="79"/>
      <c r="J815" s="79">
        <f>I815+H815</f>
        <v>2546635.4647366465</v>
      </c>
      <c r="K815" s="266"/>
      <c r="L815" s="266"/>
    </row>
    <row r="816" spans="1:12" ht="15" customHeight="1" x14ac:dyDescent="0.2">
      <c r="A816" s="207"/>
      <c r="B816" s="155"/>
      <c r="C816" s="13"/>
      <c r="D816" s="397" t="s">
        <v>310</v>
      </c>
      <c r="E816" s="291">
        <v>0.21</v>
      </c>
      <c r="F816" s="24"/>
      <c r="G816" s="24"/>
      <c r="H816" s="24"/>
      <c r="I816" s="79">
        <v>0</v>
      </c>
      <c r="J816" s="79">
        <f>H816</f>
        <v>0</v>
      </c>
      <c r="K816" s="266"/>
      <c r="L816" s="266"/>
    </row>
    <row r="817" spans="1:12" ht="15" customHeight="1" x14ac:dyDescent="0.2">
      <c r="A817" s="207"/>
      <c r="B817" s="253"/>
      <c r="C817" s="13"/>
      <c r="D817" s="261"/>
      <c r="E817" s="262"/>
      <c r="F817" s="473" t="s">
        <v>204</v>
      </c>
      <c r="G817" s="474"/>
      <c r="H817" s="274">
        <f>SUM(H814:H816)</f>
        <v>3217249.4536195453</v>
      </c>
      <c r="I817" s="275">
        <f>SUM(I816:I816)</f>
        <v>0</v>
      </c>
      <c r="J817" s="275">
        <f>SUM(H817:I817)</f>
        <v>3217249.4536195453</v>
      </c>
      <c r="K817" s="266"/>
      <c r="L817" s="266"/>
    </row>
    <row r="818" spans="1:12" s="281" customFormat="1" ht="15" customHeight="1" x14ac:dyDescent="0.2">
      <c r="A818" s="285"/>
      <c r="B818" s="286"/>
      <c r="C818" s="287"/>
      <c r="D818" s="288"/>
      <c r="E818" s="289"/>
      <c r="F818" s="220"/>
      <c r="G818" s="220"/>
      <c r="H818" s="221"/>
      <c r="I818" s="221"/>
      <c r="J818" s="221"/>
      <c r="K818" s="266"/>
      <c r="L818" s="266"/>
    </row>
    <row r="819" spans="1:12" s="44" customFormat="1" ht="15" customHeight="1" x14ac:dyDescent="0.2">
      <c r="A819" s="207"/>
      <c r="B819" s="158"/>
      <c r="C819" s="228">
        <v>27</v>
      </c>
      <c r="D819" s="233" t="s">
        <v>199</v>
      </c>
      <c r="E819" s="241" t="s">
        <v>74</v>
      </c>
      <c r="F819" s="242" t="s">
        <v>39</v>
      </c>
      <c r="G819" s="248" t="s">
        <v>40</v>
      </c>
      <c r="H819" s="240" t="s">
        <v>53</v>
      </c>
      <c r="I819" s="244" t="s">
        <v>55</v>
      </c>
      <c r="J819" s="244" t="s">
        <v>121</v>
      </c>
      <c r="K819" s="266"/>
      <c r="L819" s="266"/>
    </row>
    <row r="820" spans="1:12" ht="15" customHeight="1" x14ac:dyDescent="0.2">
      <c r="A820" s="207"/>
      <c r="B820" s="155"/>
      <c r="C820" s="13"/>
      <c r="D820" s="196" t="s">
        <v>203</v>
      </c>
      <c r="E820" s="284">
        <v>0.03</v>
      </c>
      <c r="F820" s="24">
        <f>SUM(H811+H807+H803+H797+H781+H772+H763+H734+H728+H693+H687+H676+H668+H660+H655+H632+H626+H619+H610+H594+H587+H551+H93+H86+H80)</f>
        <v>50932709.294732928</v>
      </c>
      <c r="G820" s="24">
        <v>1</v>
      </c>
      <c r="H820" s="24">
        <f>+G820*F820*E820</f>
        <v>1527981.2788419877</v>
      </c>
      <c r="I820" s="79">
        <v>0</v>
      </c>
      <c r="J820" s="79">
        <f>+I820+H820</f>
        <v>1527981.2788419877</v>
      </c>
      <c r="K820" s="266"/>
      <c r="L820" s="266"/>
    </row>
    <row r="821" spans="1:12" ht="15" customHeight="1" x14ac:dyDescent="0.2">
      <c r="A821" s="207"/>
      <c r="B821" s="319"/>
      <c r="C821" s="13"/>
      <c r="D821" s="261"/>
      <c r="E821" s="456"/>
      <c r="F821" s="473" t="s">
        <v>336</v>
      </c>
      <c r="G821" s="474"/>
      <c r="H821" s="274">
        <f>SUM(H820)</f>
        <v>1527981.2788419877</v>
      </c>
      <c r="I821" s="275">
        <f>SUM(I820:I820)</f>
        <v>0</v>
      </c>
      <c r="J821" s="275">
        <f>SUM(H821:I821)</f>
        <v>1527981.2788419877</v>
      </c>
      <c r="K821" s="266"/>
      <c r="L821" s="266"/>
    </row>
    <row r="822" spans="1:12" ht="15.95" customHeight="1" thickBot="1" x14ac:dyDescent="0.25">
      <c r="A822" s="207"/>
      <c r="B822" s="163"/>
      <c r="C822" s="164"/>
      <c r="D822" s="165"/>
      <c r="E822" s="166"/>
      <c r="F822" s="165"/>
      <c r="G822" s="165"/>
      <c r="H822" s="290" t="s">
        <v>36</v>
      </c>
      <c r="I822" s="167"/>
      <c r="J822" s="167"/>
      <c r="K822" s="167"/>
      <c r="L822" s="167"/>
    </row>
    <row r="823" spans="1:12" ht="13.5" thickTop="1" x14ac:dyDescent="0.2"/>
  </sheetData>
  <sheetProtection selectLockedCells="1" selectUnlockedCells="1"/>
  <mergeCells count="36">
    <mergeCell ref="F821:G821"/>
    <mergeCell ref="F655:G655"/>
    <mergeCell ref="D3:D5"/>
    <mergeCell ref="F811:G811"/>
    <mergeCell ref="F803:G803"/>
    <mergeCell ref="F587:G587"/>
    <mergeCell ref="F594:G594"/>
    <mergeCell ref="F772:G772"/>
    <mergeCell ref="F734:G734"/>
    <mergeCell ref="F676:G676"/>
    <mergeCell ref="F660:G660"/>
    <mergeCell ref="F693:G693"/>
    <mergeCell ref="F619:G619"/>
    <mergeCell ref="F728:G728"/>
    <mergeCell ref="F66:G66"/>
    <mergeCell ref="F817:G817"/>
    <mergeCell ref="C3:C5"/>
    <mergeCell ref="F763:G763"/>
    <mergeCell ref="F687:G687"/>
    <mergeCell ref="F535:G535"/>
    <mergeCell ref="F610:G610"/>
    <mergeCell ref="F86:G86"/>
    <mergeCell ref="F93:G93"/>
    <mergeCell ref="F668:G668"/>
    <mergeCell ref="F551:G551"/>
    <mergeCell ref="F626:G626"/>
    <mergeCell ref="F80:G80"/>
    <mergeCell ref="F62:G62"/>
    <mergeCell ref="F549:G549"/>
    <mergeCell ref="F64:G64"/>
    <mergeCell ref="F68:G68"/>
    <mergeCell ref="F781:G781"/>
    <mergeCell ref="F797:G797"/>
    <mergeCell ref="F807:G807"/>
    <mergeCell ref="F632:G632"/>
    <mergeCell ref="D701:D703"/>
  </mergeCells>
  <phoneticPr fontId="9"/>
  <pageMargins left="0.15" right="0.56999999999999995" top="0.24" bottom="0.16" header="0" footer="0"/>
  <pageSetup paperSize="9" scale="62" fitToHeight="17" orientation="landscape" horizontalDpi="4294967292" verticalDpi="4294967292"/>
  <rowBreaks count="11" manualBreakCount="11">
    <brk id="68" max="16383" man="1"/>
    <brk id="119" max="16383" man="1"/>
    <brk id="177" max="16383" man="1"/>
    <brk id="298" max="16383" man="1"/>
    <brk id="419" max="16383" man="1"/>
    <brk id="476" max="16383" man="1"/>
    <brk id="530" max="19" man="1"/>
    <brk id="587" max="16383" man="1"/>
    <brk id="694" max="16383" man="1"/>
    <brk id="750" max="16383" man="1"/>
    <brk id="804" max="16383" man="1"/>
  </rowBreaks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5"/>
  <sheetViews>
    <sheetView workbookViewId="0">
      <selection activeCell="P10" sqref="P10"/>
    </sheetView>
  </sheetViews>
  <sheetFormatPr baseColWidth="10" defaultRowHeight="12.75" x14ac:dyDescent="0.2"/>
  <cols>
    <col min="1" max="1" width="1.7109375" customWidth="1"/>
    <col min="2" max="2" width="7.42578125" customWidth="1"/>
    <col min="6" max="6" width="13.28515625" customWidth="1"/>
    <col min="8" max="8" width="2.42578125" customWidth="1"/>
    <col min="9" max="9" width="14" customWidth="1"/>
  </cols>
  <sheetData>
    <row r="1" spans="2:14" ht="15" x14ac:dyDescent="0.25">
      <c r="B1" s="354"/>
      <c r="C1" s="355"/>
      <c r="D1" s="355"/>
      <c r="E1" s="355"/>
      <c r="F1" s="355"/>
      <c r="G1" s="355"/>
    </row>
    <row r="2" spans="2:14" ht="15" x14ac:dyDescent="0.25">
      <c r="B2" s="354"/>
      <c r="C2" s="491" t="s">
        <v>341</v>
      </c>
      <c r="D2" s="492"/>
      <c r="E2" s="492"/>
      <c r="F2" s="493"/>
      <c r="G2" s="355"/>
    </row>
    <row r="3" spans="2:14" ht="15" x14ac:dyDescent="0.25">
      <c r="B3" s="370" t="s">
        <v>259</v>
      </c>
      <c r="C3" s="371" t="s">
        <v>252</v>
      </c>
      <c r="D3" s="372"/>
      <c r="E3" s="372" t="s">
        <v>253</v>
      </c>
      <c r="F3" s="372" t="s">
        <v>254</v>
      </c>
      <c r="G3" s="372" t="s">
        <v>255</v>
      </c>
      <c r="H3" s="373"/>
      <c r="I3" s="370" t="s">
        <v>256</v>
      </c>
    </row>
    <row r="4" spans="2:14" ht="15.75" thickBot="1" x14ac:dyDescent="0.3">
      <c r="B4" s="368">
        <v>1</v>
      </c>
      <c r="C4" s="459">
        <v>32465.87</v>
      </c>
      <c r="D4" s="358">
        <v>0.625</v>
      </c>
      <c r="E4" s="357">
        <f>C4*D4</f>
        <v>20291.168750000001</v>
      </c>
      <c r="F4" s="357">
        <f t="shared" ref="F4:F15" si="0">(C4+E4)*10%</f>
        <v>5275.7038750000002</v>
      </c>
      <c r="G4" s="369">
        <f t="shared" ref="G4:G15" si="1">F4+E4+C4</f>
        <v>58032.742624999999</v>
      </c>
      <c r="I4" s="360">
        <f>(C4+E4)/150*1.5</f>
        <v>527.57038750000004</v>
      </c>
      <c r="J4" s="356">
        <v>1</v>
      </c>
    </row>
    <row r="5" spans="2:14" ht="15" x14ac:dyDescent="0.25">
      <c r="B5" s="356">
        <v>2</v>
      </c>
      <c r="C5" s="357">
        <v>30736.39</v>
      </c>
      <c r="D5" s="359">
        <v>0.49</v>
      </c>
      <c r="E5" s="357">
        <f t="shared" ref="E5:E15" si="2">C5*D5</f>
        <v>15060.831099999999</v>
      </c>
      <c r="F5" s="357">
        <f t="shared" si="0"/>
        <v>4579.7221099999997</v>
      </c>
      <c r="G5" s="369">
        <f t="shared" si="1"/>
        <v>50376.943209999998</v>
      </c>
      <c r="I5" s="357">
        <f>(C5+E5)/150*1.5</f>
        <v>457.97221099999996</v>
      </c>
      <c r="J5" s="356">
        <v>2</v>
      </c>
      <c r="N5" s="443"/>
    </row>
    <row r="6" spans="2:14" ht="15" x14ac:dyDescent="0.25">
      <c r="B6" s="356">
        <v>3</v>
      </c>
      <c r="C6" s="357">
        <v>28907.64</v>
      </c>
      <c r="D6" s="359">
        <v>0.38</v>
      </c>
      <c r="E6" s="357">
        <f>C6*D6</f>
        <v>10984.903200000001</v>
      </c>
      <c r="F6" s="357">
        <f t="shared" si="0"/>
        <v>3989.25432</v>
      </c>
      <c r="G6" s="369">
        <f t="shared" si="1"/>
        <v>43881.79752</v>
      </c>
      <c r="I6" s="357">
        <f t="shared" ref="I6:I15" si="3">(C6+E6)/150*1.5</f>
        <v>398.925432</v>
      </c>
      <c r="J6" s="356">
        <v>3</v>
      </c>
    </row>
    <row r="7" spans="2:14" ht="15" x14ac:dyDescent="0.25">
      <c r="B7" s="356">
        <v>4</v>
      </c>
      <c r="C7" s="357">
        <v>27287.27</v>
      </c>
      <c r="D7" s="359">
        <v>0.35</v>
      </c>
      <c r="E7" s="357">
        <f t="shared" si="2"/>
        <v>9550.5445</v>
      </c>
      <c r="F7" s="357">
        <f t="shared" si="0"/>
        <v>3683.7814500000004</v>
      </c>
      <c r="G7" s="369">
        <f t="shared" si="1"/>
        <v>40521.595950000003</v>
      </c>
      <c r="I7" s="357">
        <f t="shared" si="3"/>
        <v>368.37814500000002</v>
      </c>
      <c r="J7" s="356">
        <v>4</v>
      </c>
    </row>
    <row r="8" spans="2:14" ht="15" x14ac:dyDescent="0.25">
      <c r="B8" s="356">
        <v>5</v>
      </c>
      <c r="C8" s="357">
        <v>25737.68</v>
      </c>
      <c r="D8" s="359">
        <v>0.32</v>
      </c>
      <c r="E8" s="357">
        <f t="shared" si="2"/>
        <v>8236.0576000000001</v>
      </c>
      <c r="F8" s="357">
        <f t="shared" si="0"/>
        <v>3397.3737600000004</v>
      </c>
      <c r="G8" s="369">
        <f t="shared" si="1"/>
        <v>37371.111360000003</v>
      </c>
      <c r="I8" s="357">
        <f t="shared" si="3"/>
        <v>339.73737599999998</v>
      </c>
      <c r="J8" s="356">
        <v>5</v>
      </c>
    </row>
    <row r="9" spans="2:14" ht="15" x14ac:dyDescent="0.25">
      <c r="B9" s="356">
        <v>6</v>
      </c>
      <c r="C9" s="357">
        <v>24294.73</v>
      </c>
      <c r="D9" s="359">
        <v>0.28999999999999998</v>
      </c>
      <c r="E9" s="357">
        <f t="shared" si="2"/>
        <v>7045.4716999999991</v>
      </c>
      <c r="F9" s="357">
        <f t="shared" si="0"/>
        <v>3134.0201699999998</v>
      </c>
      <c r="G9" s="369">
        <f t="shared" si="1"/>
        <v>34474.221869999994</v>
      </c>
      <c r="I9" s="357">
        <f t="shared" si="3"/>
        <v>313.402017</v>
      </c>
      <c r="J9" s="356">
        <v>6</v>
      </c>
    </row>
    <row r="10" spans="2:14" ht="15" x14ac:dyDescent="0.25">
      <c r="B10" s="356">
        <v>7</v>
      </c>
      <c r="C10" s="357">
        <v>22922.06</v>
      </c>
      <c r="D10" s="358">
        <v>0.26500000000000001</v>
      </c>
      <c r="E10" s="357">
        <f t="shared" si="2"/>
        <v>6074.3459000000003</v>
      </c>
      <c r="F10" s="357">
        <f t="shared" si="0"/>
        <v>2899.6405900000004</v>
      </c>
      <c r="G10" s="369">
        <f t="shared" si="1"/>
        <v>31896.046490000001</v>
      </c>
      <c r="I10" s="357">
        <f t="shared" si="3"/>
        <v>289.96405900000002</v>
      </c>
      <c r="J10" s="356">
        <v>7</v>
      </c>
    </row>
    <row r="11" spans="2:14" ht="15" x14ac:dyDescent="0.25">
      <c r="B11" s="356">
        <v>8</v>
      </c>
      <c r="C11" s="357">
        <v>21618.68</v>
      </c>
      <c r="D11" s="358">
        <v>0.23499999999999999</v>
      </c>
      <c r="E11" s="357">
        <f t="shared" si="2"/>
        <v>5080.3897999999999</v>
      </c>
      <c r="F11" s="357">
        <f t="shared" si="0"/>
        <v>2669.9069800000002</v>
      </c>
      <c r="G11" s="369">
        <f t="shared" si="1"/>
        <v>29368.976780000001</v>
      </c>
      <c r="I11" s="357">
        <f t="shared" si="3"/>
        <v>266.99069800000001</v>
      </c>
      <c r="J11" s="356">
        <v>8</v>
      </c>
    </row>
    <row r="12" spans="2:14" ht="15" x14ac:dyDescent="0.25">
      <c r="B12" s="356">
        <v>9</v>
      </c>
      <c r="C12" s="357">
        <v>20385.099999999999</v>
      </c>
      <c r="D12" s="358">
        <v>0.215</v>
      </c>
      <c r="E12" s="357">
        <f t="shared" si="2"/>
        <v>4382.7964999999995</v>
      </c>
      <c r="F12" s="357">
        <f t="shared" si="0"/>
        <v>2476.7896500000002</v>
      </c>
      <c r="G12" s="369">
        <f t="shared" si="1"/>
        <v>27244.686149999998</v>
      </c>
      <c r="I12" s="357">
        <f t="shared" si="3"/>
        <v>247.67896499999998</v>
      </c>
      <c r="J12" s="356">
        <v>9</v>
      </c>
    </row>
    <row r="13" spans="2:14" ht="15" x14ac:dyDescent="0.25">
      <c r="B13" s="356">
        <v>10</v>
      </c>
      <c r="C13" s="357">
        <v>18904.8</v>
      </c>
      <c r="D13" s="359">
        <v>0.21</v>
      </c>
      <c r="E13" s="357">
        <f t="shared" si="2"/>
        <v>3970.0079999999998</v>
      </c>
      <c r="F13" s="357">
        <f t="shared" si="0"/>
        <v>2287.4807999999998</v>
      </c>
      <c r="G13" s="369">
        <f t="shared" si="1"/>
        <v>25162.288799999998</v>
      </c>
      <c r="I13" s="357">
        <f t="shared" si="3"/>
        <v>228.74807999999999</v>
      </c>
      <c r="J13" s="356">
        <v>10</v>
      </c>
    </row>
    <row r="14" spans="2:14" ht="15" x14ac:dyDescent="0.25">
      <c r="B14" s="356">
        <v>11</v>
      </c>
      <c r="C14" s="357">
        <v>17849.13</v>
      </c>
      <c r="D14" s="358">
        <v>0.185</v>
      </c>
      <c r="E14" s="357">
        <f t="shared" si="2"/>
        <v>3302.08905</v>
      </c>
      <c r="F14" s="357">
        <f t="shared" si="0"/>
        <v>2115.121905</v>
      </c>
      <c r="G14" s="369">
        <f t="shared" si="1"/>
        <v>23266.340955</v>
      </c>
      <c r="I14" s="357">
        <f t="shared" si="3"/>
        <v>211.5121905</v>
      </c>
      <c r="J14" s="356">
        <v>11</v>
      </c>
    </row>
    <row r="15" spans="2:14" ht="15" x14ac:dyDescent="0.25">
      <c r="B15" s="356">
        <v>12</v>
      </c>
      <c r="C15" s="357">
        <v>16844.07</v>
      </c>
      <c r="D15" s="359">
        <v>0.16</v>
      </c>
      <c r="E15" s="357">
        <f t="shared" si="2"/>
        <v>2695.0511999999999</v>
      </c>
      <c r="F15" s="357">
        <f t="shared" si="0"/>
        <v>1953.9121200000002</v>
      </c>
      <c r="G15" s="369">
        <f t="shared" si="1"/>
        <v>21493.033319999999</v>
      </c>
      <c r="I15" s="357">
        <f t="shared" si="3"/>
        <v>195.391212</v>
      </c>
      <c r="J15" s="356">
        <v>12</v>
      </c>
    </row>
  </sheetData>
  <mergeCells count="1">
    <mergeCell ref="C2:F2"/>
  </mergeCells>
  <pageMargins left="0.75" right="0.75" top="1" bottom="1" header="0.5" footer="0.5"/>
  <pageSetup orientation="portrait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DAC 2019</vt:lpstr>
      <vt:lpstr>TABLAS SAT</vt:lpstr>
    </vt:vector>
  </TitlesOfParts>
  <Company>Gustavo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Natacha</dc:creator>
  <cp:lastModifiedBy>Usuario</cp:lastModifiedBy>
  <cp:lastPrinted>2017-04-03T00:43:05Z</cp:lastPrinted>
  <dcterms:created xsi:type="dcterms:W3CDTF">2001-08-21T19:51:46Z</dcterms:created>
  <dcterms:modified xsi:type="dcterms:W3CDTF">2019-03-05T21:31:58Z</dcterms:modified>
</cp:coreProperties>
</file>